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6" sheetId="1" r:id="rId3"/>
    <sheet state="hidden" name="2013" sheetId="2" r:id="rId4"/>
    <sheet state="hidden" name="2014" sheetId="3" r:id="rId5"/>
    <sheet state="hidden" name="Rascunho-Guaruja" sheetId="4" r:id="rId6"/>
  </sheets>
  <definedNames/>
  <calcPr/>
</workbook>
</file>

<file path=xl/sharedStrings.xml><?xml version="1.0" encoding="utf-8"?>
<sst xmlns="http://schemas.openxmlformats.org/spreadsheetml/2006/main" count="607" uniqueCount="147">
  <si>
    <t>ATUAL</t>
  </si>
  <si>
    <t>TIPO</t>
  </si>
  <si>
    <t>CATEGORIA</t>
  </si>
  <si>
    <t>DESCRIÇÃO</t>
  </si>
  <si>
    <t>VENCIM.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</si>
  <si>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</si>
  <si>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</si>
  <si>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</si>
  <si>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</si>
  <si>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</si>
  <si>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</si>
  <si>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</si>
  <si>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</si>
  <si>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</si>
  <si>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</si>
  <si>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</si>
  <si>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</si>
  <si>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</si>
  <si>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RENDA</t>
  </si>
  <si>
    <t>FIXAS</t>
  </si>
  <si>
    <t>$</t>
  </si>
  <si>
    <t>Caixa</t>
  </si>
  <si>
    <t>Salário Cônjuge 1</t>
  </si>
  <si>
    <t>Salário Cônjuge 2</t>
  </si>
  <si>
    <t>13°</t>
  </si>
  <si>
    <t>Reembolso</t>
  </si>
  <si>
    <t>Presentes</t>
  </si>
  <si>
    <t>Bônus</t>
  </si>
  <si>
    <t>Extras</t>
  </si>
  <si>
    <t>DESPESAS</t>
  </si>
  <si>
    <t>Aquelas que têm o mesmo montante mensalmente</t>
  </si>
  <si>
    <t>Empréstimos</t>
  </si>
  <si>
    <t>Empréstimo 1</t>
  </si>
  <si>
    <t>Empréstimo 2</t>
  </si>
  <si>
    <t>Habitação</t>
  </si>
  <si>
    <t>Aluguel</t>
  </si>
  <si>
    <t>Condomínio</t>
  </si>
  <si>
    <t>Prestação da casa</t>
  </si>
  <si>
    <t>Seguro da casa</t>
  </si>
  <si>
    <t>Diarista (Faxineira)</t>
  </si>
  <si>
    <t>Mensalista</t>
  </si>
  <si>
    <t>Transporte</t>
  </si>
  <si>
    <t>Prestação do carro</t>
  </si>
  <si>
    <t>Seguro do carro</t>
  </si>
  <si>
    <t>Multas</t>
  </si>
  <si>
    <t>Seguro Obrigatório</t>
  </si>
  <si>
    <t>Licenciamento</t>
  </si>
  <si>
    <t>Saúde</t>
  </si>
  <si>
    <t>Plano de saúde</t>
  </si>
  <si>
    <t>Plano Odontológico</t>
  </si>
  <si>
    <t>Educação</t>
  </si>
  <si>
    <t>Colégio</t>
  </si>
  <si>
    <t>Faculdade</t>
  </si>
  <si>
    <t>Curso</t>
  </si>
  <si>
    <t>Impostos</t>
  </si>
  <si>
    <t>IPTU</t>
  </si>
  <si>
    <t>IPVA</t>
  </si>
  <si>
    <t>Outros</t>
  </si>
  <si>
    <t>Seguro de vida</t>
  </si>
  <si>
    <t>Taxas do banco</t>
  </si>
  <si>
    <t>% Renda</t>
  </si>
  <si>
    <t>VARIÁVEIS</t>
  </si>
  <si>
    <t>Aquelas que acontecem todos os meses, mas podemos tentar reduzir</t>
  </si>
  <si>
    <t>Cartão Crédito</t>
  </si>
  <si>
    <t>Despesas diversas</t>
  </si>
  <si>
    <t>Luz</t>
  </si>
  <si>
    <t>Água</t>
  </si>
  <si>
    <t>Telefone</t>
  </si>
  <si>
    <t>Telefone Celular</t>
  </si>
  <si>
    <t>Gás</t>
  </si>
  <si>
    <t>Mensalidade TV</t>
  </si>
  <si>
    <t>Internet</t>
  </si>
  <si>
    <t>Taxi</t>
  </si>
  <si>
    <t>Ônibus</t>
  </si>
  <si>
    <t>Combustível/Gasolina</t>
  </si>
  <si>
    <t>Estacionamento</t>
  </si>
  <si>
    <t>Alimentação</t>
  </si>
  <si>
    <t>Supermercado</t>
  </si>
  <si>
    <t>Padaria</t>
  </si>
  <si>
    <t>Lanche da tarde</t>
  </si>
  <si>
    <t>Almoço</t>
  </si>
  <si>
    <t>Farmácia</t>
  </si>
  <si>
    <t>Academia</t>
  </si>
  <si>
    <t>Esporte / Beleza</t>
  </si>
  <si>
    <t>Cabeleireiro</t>
  </si>
  <si>
    <t>Manicure</t>
  </si>
  <si>
    <t>Esteticista</t>
  </si>
  <si>
    <t>Clube</t>
  </si>
  <si>
    <t>EXTRAS</t>
  </si>
  <si>
    <t>São as despesas extra-ordinárias, para as quais
precisamos estar reparados
quando acontecerem</t>
  </si>
  <si>
    <t>Médico</t>
  </si>
  <si>
    <t>Dentista</t>
  </si>
  <si>
    <t>Hospital</t>
  </si>
  <si>
    <t>Manutenção</t>
  </si>
  <si>
    <t>Carro</t>
  </si>
  <si>
    <t>Casa</t>
  </si>
  <si>
    <t>Material escolar</t>
  </si>
  <si>
    <t>Uniforme</t>
  </si>
  <si>
    <t>ADICIONAIS</t>
  </si>
  <si>
    <t>Aquelas que não precisam acontecer todos os meses</t>
  </si>
  <si>
    <t>Lazer</t>
  </si>
  <si>
    <t>Viagens</t>
  </si>
  <si>
    <t>Cinema/teatro</t>
  </si>
  <si>
    <t>Restaurantes/bares</t>
  </si>
  <si>
    <t>Locadora DVD</t>
  </si>
  <si>
    <t>Cursos, Livros e Revistas</t>
  </si>
  <si>
    <t>Vestuário</t>
  </si>
  <si>
    <t>Roupas</t>
  </si>
  <si>
    <t>Calçados</t>
  </si>
  <si>
    <t>Acessórios</t>
  </si>
  <si>
    <t>BALANÇO</t>
  </si>
  <si>
    <t>PLANO DA VIRADA</t>
  </si>
  <si>
    <t>Transforme o que sobrou em ativos para virar o jogo!</t>
  </si>
  <si>
    <t>Despesas Fixas</t>
  </si>
  <si>
    <t>Despesas Variáveis</t>
  </si>
  <si>
    <t>Despesas Extras</t>
  </si>
  <si>
    <t>Despesas Adic.</t>
  </si>
  <si>
    <t>O que será investido?</t>
  </si>
  <si>
    <t>Continua no caixa?</t>
  </si>
  <si>
    <t>Salários</t>
  </si>
  <si>
    <t>Salário Saulo</t>
  </si>
  <si>
    <t>Salário Letícia</t>
  </si>
  <si>
    <t>Bonus</t>
  </si>
  <si>
    <t>Loteria</t>
  </si>
  <si>
    <t>Empréstimo Saulo</t>
  </si>
  <si>
    <t>Empréstimo Letícia</t>
  </si>
  <si>
    <t>Diarista</t>
  </si>
  <si>
    <t>Seguro saúde</t>
  </si>
  <si>
    <t>Cartão de Crédito</t>
  </si>
  <si>
    <t>Metrô</t>
  </si>
  <si>
    <t>Combustível</t>
  </si>
  <si>
    <t>Cuidados Pessoais</t>
  </si>
  <si>
    <t>Manutenção/Prevenção</t>
  </si>
  <si>
    <t>Livros e Revistas</t>
  </si>
  <si>
    <t>Poupança</t>
  </si>
  <si>
    <t>271,22</t>
  </si>
  <si>
    <t>149,72</t>
  </si>
  <si>
    <t>Academia/Esporte</t>
  </si>
  <si>
    <t>Concursos</t>
  </si>
  <si>
    <t>271,03</t>
  </si>
  <si>
    <t>Casa até aeroporto</t>
  </si>
  <si>
    <t>Onibus Guaruja IDA</t>
  </si>
  <si>
    <t>Onibus Guaruja VOLTA</t>
  </si>
  <si>
    <t>Taxi Sao Paulo</t>
  </si>
  <si>
    <t>Dia a dia Guaruja</t>
  </si>
  <si>
    <t>Passagens Letícia</t>
  </si>
  <si>
    <t>Diárias Guarujá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</si>
</sst>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%"/>
    <numFmt numFmtId="165" formatCode="&quot;R$ &quot;#,##0.00"/>
  </numFmts>
  <fonts count="12">
    <font>
      <sz val="10.0"/>
      <color rgb="FF000000"/>
      <name val="Arial"/>
    </font>
    <font>
      <b/>
      <sz val="8.0"/>
    </font>
    <font>
      <b/>
      <sz val="8.0"/>
      <color rgb="FF00FF00"/>
    </font>
    <font>
      <b/>
      <sz val="8.0"/>
      <color rgb="FF000000"/>
    </font>
    <font>
      <b/>
      <sz val="8.0"/>
      <color rgb="FFFFFFFF"/>
    </font>
    <font>
      <sz val="8.0"/>
      <color rgb="FFFFFFFF"/>
    </font>
    <font>
      <sz val="8.0"/>
      <color rgb="FF000000"/>
    </font>
    <font/>
    <font>
      <sz val="10.0"/>
      <color rgb="FF000000"/>
    </font>
    <font>
      <b/>
      <sz val="10.0"/>
      <color rgb="FF000000"/>
    </font>
    <font>
      <b/>
      <sz val="9.0"/>
      <color rgb="FF000000"/>
    </font>
    <font>
      <sz val="9.0"/>
      <color rgb="FF000000"/>
    </font>
  </fonts>
  <fills count="1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47CCFC"/>
        <bgColor rgb="FF47CCFC"/>
      </patternFill>
    </fill>
    <fill>
      <patternFill patternType="solid">
        <fgColor rgb="FFE6E6E6"/>
        <bgColor rgb="FFE6E6E6"/>
      </patternFill>
    </fill>
    <fill>
      <patternFill patternType="solid">
        <fgColor rgb="FFB7B7B7"/>
        <bgColor rgb="FFB7B7B7"/>
      </patternFill>
    </fill>
    <fill>
      <patternFill patternType="solid">
        <fgColor rgb="FFFF766F"/>
        <bgColor rgb="FFFF766F"/>
      </patternFill>
    </fill>
    <fill>
      <patternFill patternType="solid">
        <fgColor rgb="FFFE936A"/>
        <bgColor rgb="FFFE936A"/>
      </patternFill>
    </fill>
    <fill>
      <patternFill patternType="solid">
        <fgColor rgb="FFFED164"/>
        <bgColor rgb="FFFED164"/>
      </patternFill>
    </fill>
    <fill>
      <patternFill patternType="solid">
        <fgColor rgb="FFFFFA83"/>
        <bgColor rgb="FFFFFA83"/>
      </patternFill>
    </fill>
    <fill>
      <patternFill patternType="solid">
        <fgColor rgb="FFA3D979"/>
        <bgColor rgb="FFA3D97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  <fill>
      <patternFill patternType="solid">
        <fgColor rgb="FFFF00FF"/>
        <bgColor rgb="FFFF00FF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wrapText="1"/>
    </xf>
    <xf borderId="0" fillId="0" fontId="1" numFmtId="0" xfId="0" applyAlignment="1" applyFont="1">
      <alignment horizontal="center" vertical="center" wrapText="1"/>
    </xf>
    <xf borderId="1" fillId="2" fontId="2" numFmtId="0" xfId="0" applyAlignment="1" applyBorder="1" applyFill="1" applyFont="1">
      <alignment horizontal="center" vertical="center" wrapText="1"/>
    </xf>
    <xf borderId="1" fillId="3" fontId="3" numFmtId="0" xfId="0" applyAlignment="1" applyBorder="1" applyFill="1" applyFont="1">
      <alignment horizontal="left" vertical="center" wrapText="1"/>
    </xf>
    <xf borderId="1" fillId="3" fontId="3" numFmtId="0" xfId="0" applyAlignment="1" applyBorder="1" applyFont="1">
      <alignment horizontal="center" vertical="center" wrapText="1"/>
    </xf>
    <xf borderId="1" fillId="0" fontId="3" numFmtId="0" xfId="0" applyAlignment="1" applyBorder="1" applyFont="1">
      <alignment horizontal="center" vertical="center" wrapText="1"/>
    </xf>
    <xf borderId="1" fillId="0" fontId="3" numFmtId="0" xfId="0" applyAlignment="1" applyBorder="1" applyFont="1">
      <alignment horizontal="center" vertical="center" wrapText="1"/>
    </xf>
    <xf borderId="1" fillId="2" fontId="4" numFmtId="0" xfId="0" applyAlignment="1" applyBorder="1" applyFont="1">
      <alignment horizontal="center" vertical="center" wrapText="1"/>
    </xf>
    <xf borderId="1" fillId="2" fontId="4" numFmtId="0" xfId="0" applyAlignment="1" applyBorder="1" applyFont="1">
      <alignment horizontal="left" vertical="center" wrapText="1"/>
    </xf>
    <xf borderId="1" fillId="2" fontId="5" numFmtId="0" xfId="0" applyAlignment="1" applyBorder="1" applyFont="1">
      <alignment horizontal="left" vertical="center" wrapText="1"/>
    </xf>
    <xf borderId="1" fillId="2" fontId="4" numFmtId="0" xfId="0" applyAlignment="1" applyBorder="1" applyFont="1">
      <alignment horizontal="center" vertical="center" wrapText="1"/>
    </xf>
    <xf borderId="1" fillId="2" fontId="5" numFmtId="0" xfId="0" applyAlignment="1" applyBorder="1" applyFon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4" fontId="3" numFmtId="0" xfId="0" applyAlignment="1" applyBorder="1" applyFill="1" applyFont="1">
      <alignment horizontal="left" vertical="center" wrapText="1"/>
    </xf>
    <xf borderId="1" fillId="4" fontId="3" numFmtId="0" xfId="0" applyAlignment="1" applyBorder="1" applyFont="1">
      <alignment horizontal="left" vertical="center" wrapText="1"/>
    </xf>
    <xf borderId="1" fillId="4" fontId="3" numFmtId="0" xfId="0" applyAlignment="1" applyBorder="1" applyFont="1">
      <alignment horizontal="center" vertical="center" wrapText="1"/>
    </xf>
    <xf borderId="1" fillId="4" fontId="3" numFmtId="0" xfId="0" applyAlignment="1" applyBorder="1" applyFont="1">
      <alignment horizontal="center" vertical="center"/>
    </xf>
    <xf borderId="2" fillId="4" fontId="6" numFmtId="0" xfId="0" applyAlignment="1" applyBorder="1" applyFont="1">
      <alignment horizontal="left" vertical="center" wrapText="1"/>
    </xf>
    <xf borderId="1" fillId="5" fontId="6" numFmtId="0" xfId="0" applyAlignment="1" applyBorder="1" applyFill="1" applyFont="1">
      <alignment horizontal="left" vertical="center" wrapText="1"/>
    </xf>
    <xf borderId="1" fillId="5" fontId="6" numFmtId="0" xfId="0" applyAlignment="1" applyBorder="1" applyFont="1">
      <alignment horizontal="left" vertical="center" wrapText="1"/>
    </xf>
    <xf borderId="1" fillId="6" fontId="3" numFmtId="0" xfId="0" applyAlignment="1" applyBorder="1" applyFill="1" applyFont="1">
      <alignment horizontal="center" vertical="center" wrapText="1"/>
    </xf>
    <xf borderId="1" fillId="3" fontId="6" numFmtId="4" xfId="0" applyAlignment="1" applyBorder="1" applyFont="1" applyNumberFormat="1">
      <alignment horizontal="right" vertical="center"/>
    </xf>
    <xf borderId="1" fillId="6" fontId="3" numFmtId="4" xfId="0" applyAlignment="1" applyBorder="1" applyFont="1" applyNumberFormat="1">
      <alignment horizontal="right" vertical="center"/>
    </xf>
    <xf borderId="3" fillId="0" fontId="7" numFmtId="0" xfId="0" applyAlignment="1" applyBorder="1" applyFont="1">
      <alignment wrapText="1"/>
    </xf>
    <xf borderId="1" fillId="5" fontId="6" numFmtId="0" xfId="0" applyAlignment="1" applyBorder="1" applyFont="1">
      <alignment horizontal="left" vertical="center" wrapText="1"/>
    </xf>
    <xf borderId="1" fillId="6" fontId="3" numFmtId="0" xfId="0" applyAlignment="1" applyBorder="1" applyFont="1">
      <alignment horizontal="center" vertical="center" wrapText="1"/>
    </xf>
    <xf borderId="1" fillId="3" fontId="6" numFmtId="4" xfId="0" applyAlignment="1" applyBorder="1" applyFont="1" applyNumberFormat="1">
      <alignment horizontal="right" vertical="center"/>
    </xf>
    <xf borderId="4" fillId="0" fontId="7" numFmtId="0" xfId="0" applyAlignment="1" applyBorder="1" applyFont="1">
      <alignment wrapText="1"/>
    </xf>
    <xf borderId="1" fillId="5" fontId="3" numFmtId="0" xfId="0" applyAlignment="1" applyBorder="1" applyFont="1">
      <alignment horizontal="left" vertical="center" wrapText="1"/>
    </xf>
    <xf borderId="1" fillId="5" fontId="3" numFmtId="0" xfId="0" applyAlignment="1" applyBorder="1" applyFont="1">
      <alignment horizontal="left" vertical="center" wrapText="1"/>
    </xf>
    <xf borderId="1" fillId="3" fontId="3" numFmtId="4" xfId="0" applyAlignment="1" applyBorder="1" applyFont="1" applyNumberFormat="1">
      <alignment horizontal="right" vertical="center"/>
    </xf>
    <xf borderId="1" fillId="2" fontId="5" numFmtId="4" xfId="0" applyAlignment="1" applyBorder="1" applyFont="1" applyNumberFormat="1">
      <alignment horizontal="right" vertical="center"/>
    </xf>
    <xf borderId="1" fillId="2" fontId="4" numFmtId="4" xfId="0" applyAlignment="1" applyBorder="1" applyFont="1" applyNumberFormat="1">
      <alignment horizontal="right" vertical="center"/>
    </xf>
    <xf borderId="1" fillId="7" fontId="3" numFmtId="0" xfId="0" applyAlignment="1" applyBorder="1" applyFill="1" applyFont="1">
      <alignment horizontal="left" vertical="center" wrapText="1"/>
    </xf>
    <xf borderId="1" fillId="7" fontId="3" numFmtId="0" xfId="0" applyAlignment="1" applyBorder="1" applyFont="1">
      <alignment horizontal="left" vertical="center" wrapText="1"/>
    </xf>
    <xf borderId="1" fillId="7" fontId="3" numFmtId="0" xfId="0" applyAlignment="1" applyBorder="1" applyFont="1">
      <alignment horizontal="center" vertical="center" wrapText="1"/>
    </xf>
    <xf borderId="1" fillId="7" fontId="3" numFmtId="0" xfId="0" applyAlignment="1" applyBorder="1" applyFont="1">
      <alignment horizontal="center" vertical="center"/>
    </xf>
    <xf borderId="2" fillId="7" fontId="6" numFmtId="0" xfId="0" applyAlignment="1" applyBorder="1" applyFont="1">
      <alignment horizontal="left" vertical="top" wrapText="1"/>
    </xf>
    <xf borderId="1" fillId="0" fontId="6" numFmtId="4" xfId="0" applyAlignment="1" applyBorder="1" applyFont="1" applyNumberFormat="1">
      <alignment horizontal="right" vertical="center"/>
    </xf>
    <xf borderId="1" fillId="6" fontId="3" numFmtId="0" xfId="0" applyAlignment="1" applyBorder="1" applyFont="1">
      <alignment horizontal="center" vertical="center" wrapText="1"/>
    </xf>
    <xf borderId="1" fillId="0" fontId="6" numFmtId="4" xfId="0" applyAlignment="1" applyBorder="1" applyFont="1" applyNumberFormat="1">
      <alignment horizontal="right" vertical="center"/>
    </xf>
    <xf borderId="1" fillId="7" fontId="6" numFmtId="0" xfId="0" applyAlignment="1" applyBorder="1" applyFont="1">
      <alignment horizontal="left" vertical="center" wrapText="1"/>
    </xf>
    <xf borderId="1" fillId="3" fontId="3" numFmtId="9" xfId="0" applyAlignment="1" applyBorder="1" applyFont="1" applyNumberFormat="1">
      <alignment horizontal="right" vertical="center"/>
    </xf>
    <xf borderId="1" fillId="6" fontId="3" numFmtId="3" xfId="0" applyAlignment="1" applyBorder="1" applyFont="1" applyNumberFormat="1">
      <alignment horizontal="right" vertical="center"/>
    </xf>
    <xf borderId="1" fillId="8" fontId="3" numFmtId="0" xfId="0" applyAlignment="1" applyBorder="1" applyFill="1" applyFont="1">
      <alignment horizontal="left" vertical="center" wrapText="1"/>
    </xf>
    <xf borderId="1" fillId="8" fontId="3" numFmtId="0" xfId="0" applyAlignment="1" applyBorder="1" applyFont="1">
      <alignment horizontal="left" vertical="center" wrapText="1"/>
    </xf>
    <xf borderId="1" fillId="8" fontId="3" numFmtId="0" xfId="0" applyAlignment="1" applyBorder="1" applyFont="1">
      <alignment horizontal="center" vertical="center" wrapText="1"/>
    </xf>
    <xf borderId="1" fillId="8" fontId="3" numFmtId="0" xfId="0" applyAlignment="1" applyBorder="1" applyFont="1">
      <alignment horizontal="left" vertical="center"/>
    </xf>
    <xf borderId="2" fillId="8" fontId="6" numFmtId="0" xfId="0" applyAlignment="1" applyBorder="1" applyFont="1">
      <alignment horizontal="left" vertical="top" wrapText="1"/>
    </xf>
    <xf borderId="1" fillId="9" fontId="3" numFmtId="0" xfId="0" applyAlignment="1" applyBorder="1" applyFill="1" applyFont="1">
      <alignment horizontal="left" vertical="center" wrapText="1"/>
    </xf>
    <xf borderId="1" fillId="9" fontId="3" numFmtId="0" xfId="0" applyAlignment="1" applyBorder="1" applyFont="1">
      <alignment horizontal="left" vertical="center" wrapText="1"/>
    </xf>
    <xf borderId="1" fillId="9" fontId="3" numFmtId="0" xfId="0" applyAlignment="1" applyBorder="1" applyFont="1">
      <alignment horizontal="center" vertical="center" wrapText="1"/>
    </xf>
    <xf borderId="1" fillId="9" fontId="3" numFmtId="0" xfId="0" applyAlignment="1" applyBorder="1" applyFont="1">
      <alignment horizontal="left" vertical="center"/>
    </xf>
    <xf borderId="2" fillId="9" fontId="6" numFmtId="0" xfId="0" applyAlignment="1" applyBorder="1" applyFont="1">
      <alignment horizontal="left" vertical="top" wrapText="1"/>
    </xf>
    <xf borderId="1" fillId="6" fontId="3" numFmtId="164" xfId="0" applyAlignment="1" applyBorder="1" applyFont="1" applyNumberFormat="1">
      <alignment horizontal="right" vertical="center"/>
    </xf>
    <xf borderId="1" fillId="10" fontId="3" numFmtId="0" xfId="0" applyAlignment="1" applyBorder="1" applyFill="1" applyFont="1">
      <alignment horizontal="left" vertical="center" wrapText="1"/>
    </xf>
    <xf borderId="1" fillId="10" fontId="3" numFmtId="0" xfId="0" applyAlignment="1" applyBorder="1" applyFont="1">
      <alignment horizontal="left" vertical="center" wrapText="1"/>
    </xf>
    <xf borderId="1" fillId="10" fontId="3" numFmtId="0" xfId="0" applyAlignment="1" applyBorder="1" applyFont="1">
      <alignment horizontal="center" vertical="center" wrapText="1"/>
    </xf>
    <xf borderId="1" fillId="10" fontId="3" numFmtId="0" xfId="0" applyAlignment="1" applyBorder="1" applyFont="1">
      <alignment horizontal="left" vertical="center"/>
    </xf>
    <xf borderId="2" fillId="10" fontId="6" numFmtId="0" xfId="0" applyAlignment="1" applyBorder="1" applyFont="1">
      <alignment horizontal="left" vertical="top" wrapText="1"/>
    </xf>
    <xf borderId="1" fillId="2" fontId="8" numFmtId="0" xfId="0" applyAlignment="1" applyBorder="1" applyFont="1">
      <alignment horizontal="left" vertical="center" wrapText="1"/>
    </xf>
    <xf borderId="1" fillId="2" fontId="9" numFmtId="0" xfId="0" applyAlignment="1" applyBorder="1" applyFont="1">
      <alignment horizontal="center" vertical="center" wrapText="1"/>
    </xf>
    <xf borderId="1" fillId="2" fontId="8" numFmtId="0" xfId="0" applyAlignment="1" applyBorder="1" applyFont="1">
      <alignment vertical="center" wrapText="1"/>
    </xf>
    <xf borderId="1" fillId="2" fontId="9" numFmtId="0" xfId="0" applyAlignment="1" applyBorder="1" applyFont="1">
      <alignment vertical="center" wrapText="1"/>
    </xf>
    <xf borderId="1" fillId="5" fontId="10" numFmtId="0" xfId="0" applyAlignment="1" applyBorder="1" applyFont="1">
      <alignment horizontal="left" vertical="center" wrapText="1"/>
    </xf>
    <xf borderId="1" fillId="5" fontId="10" numFmtId="0" xfId="0" applyAlignment="1" applyBorder="1" applyFont="1">
      <alignment horizontal="left" vertical="center" wrapText="1"/>
    </xf>
    <xf borderId="1" fillId="5" fontId="10" numFmtId="4" xfId="0" applyAlignment="1" applyBorder="1" applyFont="1" applyNumberFormat="1">
      <alignment vertical="center" wrapText="1"/>
    </xf>
    <xf borderId="1" fillId="6" fontId="10" numFmtId="4" xfId="0" applyAlignment="1" applyBorder="1" applyFont="1" applyNumberFormat="1">
      <alignment vertical="center" wrapText="1"/>
    </xf>
    <xf borderId="2" fillId="5" fontId="6" numFmtId="0" xfId="0" applyAlignment="1" applyBorder="1" applyFont="1">
      <alignment horizontal="left" vertical="top" wrapText="1"/>
    </xf>
    <xf borderId="1" fillId="5" fontId="11" numFmtId="0" xfId="0" applyAlignment="1" applyBorder="1" applyFont="1">
      <alignment horizontal="left" vertical="center" wrapText="1"/>
    </xf>
    <xf borderId="1" fillId="5" fontId="11" numFmtId="0" xfId="0" applyAlignment="1" applyBorder="1" applyFont="1">
      <alignment horizontal="left" vertical="center" wrapText="1"/>
    </xf>
    <xf borderId="1" fillId="5" fontId="11" numFmtId="4" xfId="0" applyAlignment="1" applyBorder="1" applyFont="1" applyNumberFormat="1">
      <alignment vertical="center" wrapText="1"/>
    </xf>
    <xf borderId="1" fillId="5" fontId="6" numFmtId="3" xfId="0" applyAlignment="1" applyBorder="1" applyFont="1" applyNumberFormat="1">
      <alignment horizontal="right" vertical="center" wrapText="1"/>
    </xf>
    <xf borderId="1" fillId="6" fontId="3" numFmtId="3" xfId="0" applyAlignment="1" applyBorder="1" applyFont="1" applyNumberFormat="1">
      <alignment vertical="center" wrapText="1"/>
    </xf>
    <xf borderId="1" fillId="5" fontId="6" numFmtId="164" xfId="0" applyAlignment="1" applyBorder="1" applyFont="1" applyNumberFormat="1">
      <alignment vertical="center" wrapText="1"/>
    </xf>
    <xf borderId="1" fillId="6" fontId="3" numFmtId="164" xfId="0" applyAlignment="1" applyBorder="1" applyFont="1" applyNumberFormat="1">
      <alignment vertical="center" wrapText="1"/>
    </xf>
    <xf borderId="1" fillId="11" fontId="6" numFmtId="165" xfId="0" applyAlignment="1" applyBorder="1" applyFill="1" applyFont="1" applyNumberFormat="1">
      <alignment vertical="center" wrapText="1"/>
    </xf>
    <xf borderId="1" fillId="11" fontId="3" numFmtId="165" xfId="0" applyAlignment="1" applyBorder="1" applyFont="1" applyNumberFormat="1">
      <alignment vertical="center" wrapText="1"/>
    </xf>
    <xf borderId="1" fillId="4" fontId="6" numFmtId="4" xfId="0" applyAlignment="1" applyBorder="1" applyFont="1" applyNumberFormat="1">
      <alignment vertical="center" wrapText="1"/>
    </xf>
    <xf borderId="1" fillId="4" fontId="3" numFmtId="4" xfId="0" applyAlignment="1" applyBorder="1" applyFont="1" applyNumberFormat="1">
      <alignment vertical="center" wrapText="1"/>
    </xf>
    <xf borderId="1" fillId="2" fontId="4" numFmtId="0" xfId="0" applyAlignment="1" applyBorder="1" applyFont="1">
      <alignment horizontal="left" vertical="center" wrapText="1"/>
    </xf>
    <xf borderId="1" fillId="5" fontId="3" numFmtId="4" xfId="0" applyAlignment="1" applyBorder="1" applyFont="1" applyNumberFormat="1">
      <alignment horizontal="left" vertical="center" wrapText="1"/>
    </xf>
    <xf borderId="1" fillId="12" fontId="6" numFmtId="4" xfId="0" applyAlignment="1" applyBorder="1" applyFill="1" applyFont="1" applyNumberFormat="1">
      <alignment horizontal="right" vertical="center"/>
    </xf>
    <xf borderId="1" fillId="13" fontId="6" numFmtId="4" xfId="0" applyAlignment="1" applyBorder="1" applyFill="1" applyFont="1" applyNumberFormat="1">
      <alignment horizontal="right" vertical="center"/>
    </xf>
    <xf borderId="1" fillId="14" fontId="6" numFmtId="4" xfId="0" applyAlignment="1" applyBorder="1" applyFill="1" applyFont="1" applyNumberFormat="1">
      <alignment horizontal="right" vertical="center"/>
    </xf>
    <xf borderId="1" fillId="3" fontId="3" numFmtId="3" xfId="0" applyAlignment="1" applyBorder="1" applyFont="1" applyNumberFormat="1">
      <alignment horizontal="right" vertical="center"/>
    </xf>
    <xf borderId="1" fillId="3" fontId="3" numFmtId="164" xfId="0" applyAlignment="1" applyBorder="1" applyFont="1" applyNumberFormat="1">
      <alignment horizontal="right" vertical="center"/>
    </xf>
    <xf borderId="1" fillId="2" fontId="9" numFmtId="0" xfId="0" applyAlignment="1" applyBorder="1" applyFont="1">
      <alignment horizontal="left" vertical="center" wrapText="1"/>
    </xf>
    <xf borderId="1" fillId="5" fontId="6" numFmtId="3" xfId="0" applyAlignment="1" applyBorder="1" applyFont="1" applyNumberFormat="1">
      <alignment vertical="center" wrapText="1"/>
    </xf>
    <xf borderId="1" fillId="11" fontId="6" numFmtId="4" xfId="0" applyAlignment="1" applyBorder="1" applyFont="1" applyNumberFormat="1">
      <alignment vertical="center" wrapText="1"/>
    </xf>
    <xf borderId="1" fillId="15" fontId="3" numFmtId="4" xfId="0" applyAlignment="1" applyBorder="1" applyFill="1" applyFont="1" applyNumberFormat="1">
      <alignment horizontal="right" vertical="center"/>
    </xf>
    <xf borderId="1" fillId="0" fontId="6" numFmtId="0" xfId="0" applyAlignment="1" applyBorder="1" applyFont="1">
      <alignment horizontal="left" vertical="center" wrapText="1"/>
    </xf>
    <xf borderId="1" fillId="16" fontId="6" numFmtId="4" xfId="0" applyAlignment="1" applyBorder="1" applyFill="1" applyFont="1" applyNumberFormat="1">
      <alignment horizontal="right" vertical="center"/>
    </xf>
    <xf borderId="1" fillId="16" fontId="6" numFmtId="4" xfId="0" applyAlignment="1" applyBorder="1" applyFont="1" applyNumberFormat="1">
      <alignment horizontal="right" vertical="center"/>
    </xf>
    <xf borderId="1" fillId="15" fontId="3" numFmtId="3" xfId="0" applyAlignment="1" applyBorder="1" applyFont="1" applyNumberFormat="1">
      <alignment horizontal="right" vertical="center"/>
    </xf>
    <xf borderId="1" fillId="15" fontId="3" numFmtId="164" xfId="0" applyAlignment="1" applyBorder="1" applyFont="1" applyNumberFormat="1">
      <alignment horizontal="right" vertical="center"/>
    </xf>
    <xf borderId="1" fillId="5" fontId="3" numFmtId="3" xfId="0" applyAlignment="1" applyBorder="1" applyFont="1" applyNumberFormat="1">
      <alignment vertical="center" wrapText="1"/>
    </xf>
    <xf borderId="1" fillId="5" fontId="3" numFmtId="164" xfId="0" applyAlignment="1" applyBorder="1" applyFont="1" applyNumberFormat="1">
      <alignment vertical="center" wrapText="1"/>
    </xf>
    <xf borderId="1" fillId="11" fontId="6" numFmtId="4" xfId="0" applyAlignment="1" applyBorder="1" applyFont="1" applyNumberFormat="1">
      <alignment vertical="center" wrapText="1"/>
    </xf>
    <xf borderId="1" fillId="12" fontId="6" numFmtId="4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min="1" max="2" width="13.0"/>
    <col customWidth="1" min="3" max="3" width="18.14"/>
    <col customWidth="1" min="4" max="4" width="9.0"/>
    <col customWidth="1" min="5" max="17" width="8.57"/>
  </cols>
  <sheetData>
    <row r="1" ht="11.25" customHeight="1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1.2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 t="s">
        <v>17</v>
      </c>
    </row>
    <row r="3" ht="11.25" customHeight="1">
      <c r="A3" s="8" t="s">
        <v>18</v>
      </c>
      <c r="B3" s="9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ht="11.25" customHeight="1">
      <c r="A4" s="13" t="s">
        <v>19</v>
      </c>
      <c r="B4" s="14"/>
      <c r="C4" s="14"/>
      <c r="D4" s="15"/>
      <c r="E4" s="16" t="s">
        <v>20</v>
      </c>
      <c r="F4" s="16" t="s">
        <v>20</v>
      </c>
      <c r="G4" s="16" t="s">
        <v>20</v>
      </c>
      <c r="H4" s="16" t="s">
        <v>20</v>
      </c>
      <c r="I4" s="16" t="s">
        <v>20</v>
      </c>
      <c r="J4" s="16" t="s">
        <v>20</v>
      </c>
      <c r="K4" s="16" t="s">
        <v>20</v>
      </c>
      <c r="L4" s="16" t="s">
        <v>20</v>
      </c>
      <c r="M4" s="16" t="s">
        <v>20</v>
      </c>
      <c r="N4" s="16" t="s">
        <v>20</v>
      </c>
      <c r="O4" s="16" t="s">
        <v>20</v>
      </c>
      <c r="P4" s="16" t="s">
        <v>20</v>
      </c>
      <c r="Q4" s="16" t="s">
        <v>20</v>
      </c>
    </row>
    <row r="5" ht="11.25" customHeight="1">
      <c r="A5" s="17"/>
      <c r="B5" s="18"/>
      <c r="C5" s="19" t="s">
        <v>21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 t="str">
        <f t="shared" ref="Q5:Q12" si="1">SUM(E5:P5)</f>
        <v>0.00</v>
      </c>
    </row>
    <row r="6" ht="11.25" customHeight="1">
      <c r="A6" s="23"/>
      <c r="B6" s="18"/>
      <c r="C6" s="24" t="s">
        <v>22</v>
      </c>
      <c r="D6" s="25">
        <v>10.0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2" t="str">
        <f t="shared" si="1"/>
        <v>0.00</v>
      </c>
    </row>
    <row r="7" ht="11.25" customHeight="1">
      <c r="A7" s="23"/>
      <c r="B7" s="18"/>
      <c r="C7" s="24" t="s">
        <v>23</v>
      </c>
      <c r="D7" s="25">
        <v>10.0</v>
      </c>
      <c r="E7" s="2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2" t="str">
        <f t="shared" si="1"/>
        <v>0.00</v>
      </c>
    </row>
    <row r="8" ht="11.25" customHeight="1">
      <c r="A8" s="23"/>
      <c r="B8" s="18"/>
      <c r="C8" s="24" t="s">
        <v>24</v>
      </c>
      <c r="D8" s="2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 t="str">
        <f t="shared" si="1"/>
        <v>0.00</v>
      </c>
    </row>
    <row r="9" ht="11.25" customHeight="1">
      <c r="A9" s="23"/>
      <c r="B9" s="18"/>
      <c r="C9" s="19" t="s">
        <v>25</v>
      </c>
      <c r="D9" s="25"/>
      <c r="E9" s="26"/>
      <c r="F9" s="26"/>
      <c r="G9" s="26"/>
      <c r="H9" s="26"/>
      <c r="I9" s="26"/>
      <c r="J9" s="21"/>
      <c r="K9" s="21"/>
      <c r="L9" s="21"/>
      <c r="M9" s="21"/>
      <c r="N9" s="21"/>
      <c r="O9" s="21"/>
      <c r="P9" s="21"/>
      <c r="Q9" s="22" t="str">
        <f t="shared" si="1"/>
        <v>0.00</v>
      </c>
    </row>
    <row r="10" ht="11.25" customHeight="1">
      <c r="A10" s="23"/>
      <c r="B10" s="18"/>
      <c r="C10" s="19" t="s">
        <v>26</v>
      </c>
      <c r="D10" s="2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 t="str">
        <f t="shared" si="1"/>
        <v>0.00</v>
      </c>
    </row>
    <row r="11" ht="11.25" customHeight="1">
      <c r="A11" s="23"/>
      <c r="B11" s="18"/>
      <c r="C11" s="24" t="s">
        <v>27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2" t="str">
        <f t="shared" si="1"/>
        <v>0.00</v>
      </c>
    </row>
    <row r="12" ht="11.25" customHeight="1">
      <c r="A12" s="27"/>
      <c r="B12" s="18"/>
      <c r="C12" s="24" t="s">
        <v>28</v>
      </c>
      <c r="D12" s="20"/>
      <c r="E12" s="21"/>
      <c r="F12" s="21"/>
      <c r="G12" s="21"/>
      <c r="H12" s="21"/>
      <c r="I12" s="26"/>
      <c r="J12" s="21"/>
      <c r="K12" s="21"/>
      <c r="L12" s="21"/>
      <c r="M12" s="21"/>
      <c r="N12" s="21"/>
      <c r="O12" s="21"/>
      <c r="P12" s="21"/>
      <c r="Q12" s="22" t="str">
        <f t="shared" si="1"/>
        <v>0.00</v>
      </c>
    </row>
    <row r="13" ht="11.25" customHeight="1">
      <c r="A13" s="14"/>
      <c r="B13" s="28"/>
      <c r="C13" s="29" t="s">
        <v>17</v>
      </c>
      <c r="D13" s="20"/>
      <c r="E13" s="30" t="str">
        <f t="shared" ref="E13:Q13" si="2">SUM(E5:E12)</f>
        <v>0.00</v>
      </c>
      <c r="F13" s="30" t="str">
        <f t="shared" si="2"/>
        <v>0.00</v>
      </c>
      <c r="G13" s="30" t="str">
        <f t="shared" si="2"/>
        <v>0.00</v>
      </c>
      <c r="H13" s="30" t="str">
        <f t="shared" si="2"/>
        <v>0.00</v>
      </c>
      <c r="I13" s="30" t="str">
        <f t="shared" si="2"/>
        <v>0.00</v>
      </c>
      <c r="J13" s="30" t="str">
        <f t="shared" si="2"/>
        <v>0.00</v>
      </c>
      <c r="K13" s="30" t="str">
        <f t="shared" si="2"/>
        <v>0.00</v>
      </c>
      <c r="L13" s="30" t="str">
        <f t="shared" si="2"/>
        <v>0.00</v>
      </c>
      <c r="M13" s="30" t="str">
        <f t="shared" si="2"/>
        <v>0.00</v>
      </c>
      <c r="N13" s="30" t="str">
        <f t="shared" si="2"/>
        <v>0.00</v>
      </c>
      <c r="O13" s="30" t="str">
        <f t="shared" si="2"/>
        <v>0.00</v>
      </c>
      <c r="P13" s="30" t="str">
        <f t="shared" si="2"/>
        <v>0.00</v>
      </c>
      <c r="Q13" s="22" t="str">
        <f t="shared" si="2"/>
        <v>0.00</v>
      </c>
    </row>
    <row r="14" ht="11.25" customHeight="1">
      <c r="A14" s="14"/>
      <c r="B14" s="18"/>
      <c r="C14" s="18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ht="11.25" customHeight="1">
      <c r="A15" s="14"/>
      <c r="B15" s="18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ht="11.25" customHeight="1">
      <c r="A16" s="14"/>
      <c r="B16" s="18"/>
      <c r="C16" s="18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</row>
    <row r="17" ht="11.25" customHeight="1">
      <c r="A17" s="18"/>
      <c r="B17" s="18"/>
      <c r="C17" s="18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</row>
    <row r="18" ht="11.25" customHeight="1">
      <c r="A18" s="8" t="s">
        <v>29</v>
      </c>
      <c r="B18" s="9"/>
      <c r="C18" s="9"/>
      <c r="D18" s="1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</row>
    <row r="19" ht="11.25" customHeight="1">
      <c r="A19" s="33" t="s">
        <v>19</v>
      </c>
      <c r="B19" s="34"/>
      <c r="C19" s="34"/>
      <c r="D19" s="35"/>
      <c r="E19" s="36" t="s">
        <v>20</v>
      </c>
      <c r="F19" s="36" t="s">
        <v>20</v>
      </c>
      <c r="G19" s="36" t="s">
        <v>20</v>
      </c>
      <c r="H19" s="36" t="s">
        <v>20</v>
      </c>
      <c r="I19" s="36" t="s">
        <v>20</v>
      </c>
      <c r="J19" s="36" t="s">
        <v>20</v>
      </c>
      <c r="K19" s="36" t="s">
        <v>20</v>
      </c>
      <c r="L19" s="36" t="s">
        <v>20</v>
      </c>
      <c r="M19" s="36" t="s">
        <v>20</v>
      </c>
      <c r="N19" s="36" t="s">
        <v>20</v>
      </c>
      <c r="O19" s="36" t="s">
        <v>20</v>
      </c>
      <c r="P19" s="36" t="s">
        <v>20</v>
      </c>
      <c r="Q19" s="36" t="s">
        <v>20</v>
      </c>
    </row>
    <row r="20" ht="11.25" customHeight="1">
      <c r="A20" s="37" t="s">
        <v>30</v>
      </c>
      <c r="B20" s="19" t="s">
        <v>31</v>
      </c>
      <c r="C20" s="24" t="s">
        <v>32</v>
      </c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 t="str">
        <f t="shared" ref="Q20:Q50" si="3">SUM(E20:P20)</f>
        <v>0.00</v>
      </c>
    </row>
    <row r="21" ht="11.25" customHeight="1">
      <c r="A21" s="23"/>
      <c r="B21" s="18"/>
      <c r="C21" s="24" t="s">
        <v>33</v>
      </c>
      <c r="D21" s="20"/>
      <c r="E21" s="3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 t="str">
        <f t="shared" si="3"/>
        <v>0.00</v>
      </c>
    </row>
    <row r="22" ht="11.25" customHeight="1">
      <c r="A22" s="23"/>
      <c r="B22" s="18"/>
      <c r="C22" s="18"/>
      <c r="D22" s="2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2" t="str">
        <f t="shared" si="3"/>
        <v>0.00</v>
      </c>
    </row>
    <row r="23" ht="11.25" customHeight="1">
      <c r="A23" s="23"/>
      <c r="B23" s="18"/>
      <c r="C23" s="18"/>
      <c r="D23" s="20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2" t="str">
        <f t="shared" si="3"/>
        <v>0.00</v>
      </c>
    </row>
    <row r="24" ht="11.25" customHeight="1">
      <c r="A24" s="23"/>
      <c r="B24" s="18"/>
      <c r="C24" s="18"/>
      <c r="D24" s="20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2" t="str">
        <f t="shared" si="3"/>
        <v>0.00</v>
      </c>
    </row>
    <row r="25" ht="11.25" customHeight="1">
      <c r="A25" s="23"/>
      <c r="B25" s="18"/>
      <c r="C25" s="18"/>
      <c r="D25" s="2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2" t="str">
        <f t="shared" si="3"/>
        <v>0.00</v>
      </c>
    </row>
    <row r="26" ht="11.25" customHeight="1">
      <c r="A26" s="23"/>
      <c r="B26" s="19" t="s">
        <v>34</v>
      </c>
      <c r="C26" s="19" t="s">
        <v>35</v>
      </c>
      <c r="D26" s="39">
        <v>25.0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2" t="str">
        <f t="shared" si="3"/>
        <v>0.00</v>
      </c>
    </row>
    <row r="27" ht="11.25" customHeight="1">
      <c r="A27" s="23"/>
      <c r="B27" s="18"/>
      <c r="C27" s="19" t="s">
        <v>36</v>
      </c>
      <c r="D27" s="39">
        <v>10.0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2" t="str">
        <f t="shared" si="3"/>
        <v>0.00</v>
      </c>
    </row>
    <row r="28" ht="11.25" customHeight="1">
      <c r="A28" s="23"/>
      <c r="B28" s="18"/>
      <c r="C28" s="19" t="s">
        <v>37</v>
      </c>
      <c r="D28" s="2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2" t="str">
        <f t="shared" si="3"/>
        <v>0.00</v>
      </c>
    </row>
    <row r="29" ht="11.25" customHeight="1">
      <c r="A29" s="23"/>
      <c r="B29" s="18"/>
      <c r="C29" s="19" t="s">
        <v>38</v>
      </c>
      <c r="D29" s="2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22" t="str">
        <f t="shared" si="3"/>
        <v>0.00</v>
      </c>
    </row>
    <row r="30" ht="11.25" customHeight="1">
      <c r="A30" s="23"/>
      <c r="B30" s="18"/>
      <c r="C30" s="19" t="s">
        <v>39</v>
      </c>
      <c r="D30" s="39">
        <v>10.0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2" t="str">
        <f t="shared" si="3"/>
        <v>0.00</v>
      </c>
    </row>
    <row r="31" ht="11.25" customHeight="1">
      <c r="A31" s="23"/>
      <c r="B31" s="18"/>
      <c r="C31" s="19" t="s">
        <v>40</v>
      </c>
      <c r="D31" s="2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2" t="str">
        <f t="shared" si="3"/>
        <v>0.00</v>
      </c>
    </row>
    <row r="32" ht="11.25" customHeight="1">
      <c r="A32" s="23"/>
      <c r="B32" s="18"/>
      <c r="C32" s="18"/>
      <c r="D32" s="2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22" t="str">
        <f t="shared" si="3"/>
        <v>0.00</v>
      </c>
    </row>
    <row r="33" ht="11.25" customHeight="1">
      <c r="A33" s="23"/>
      <c r="B33" s="19" t="s">
        <v>41</v>
      </c>
      <c r="C33" s="19" t="s">
        <v>42</v>
      </c>
      <c r="D33" s="25">
        <v>10.0</v>
      </c>
      <c r="E33" s="38"/>
      <c r="F33" s="38"/>
      <c r="G33" s="38"/>
      <c r="H33" s="40"/>
      <c r="I33" s="38"/>
      <c r="J33" s="40"/>
      <c r="K33" s="40"/>
      <c r="L33" s="40"/>
      <c r="M33" s="40"/>
      <c r="N33" s="40"/>
      <c r="O33" s="40"/>
      <c r="P33" s="40"/>
      <c r="Q33" s="22" t="str">
        <f t="shared" si="3"/>
        <v>0.00</v>
      </c>
    </row>
    <row r="34" ht="11.25" customHeight="1">
      <c r="A34" s="23"/>
      <c r="B34" s="18"/>
      <c r="C34" s="19" t="s">
        <v>43</v>
      </c>
      <c r="D34" s="39">
        <v>14.0</v>
      </c>
      <c r="E34" s="40"/>
      <c r="F34" s="40"/>
      <c r="G34" s="38"/>
      <c r="H34" s="40"/>
      <c r="I34" s="40"/>
      <c r="J34" s="40"/>
      <c r="K34" s="40"/>
      <c r="L34" s="40"/>
      <c r="M34" s="38"/>
      <c r="N34" s="38"/>
      <c r="O34" s="38"/>
      <c r="P34" s="38"/>
      <c r="Q34" s="22" t="str">
        <f t="shared" si="3"/>
        <v>0.00</v>
      </c>
    </row>
    <row r="35" ht="11.25" customHeight="1">
      <c r="A35" s="23"/>
      <c r="B35" s="18"/>
      <c r="C35" s="19" t="s">
        <v>44</v>
      </c>
      <c r="D35" s="25">
        <v>20.0</v>
      </c>
      <c r="E35" s="38"/>
      <c r="F35" s="38"/>
      <c r="G35" s="38"/>
      <c r="H35" s="40"/>
      <c r="I35" s="38"/>
      <c r="J35" s="38"/>
      <c r="K35" s="38"/>
      <c r="L35" s="38"/>
      <c r="M35" s="38"/>
      <c r="N35" s="38"/>
      <c r="O35" s="38"/>
      <c r="P35" s="38"/>
      <c r="Q35" s="22" t="str">
        <f t="shared" si="3"/>
        <v>0.00</v>
      </c>
    </row>
    <row r="36" ht="11.25" customHeight="1">
      <c r="A36" s="23"/>
      <c r="B36" s="18"/>
      <c r="C36" s="19" t="s">
        <v>45</v>
      </c>
      <c r="D36" s="2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22" t="str">
        <f t="shared" si="3"/>
        <v>0.00</v>
      </c>
    </row>
    <row r="37" ht="11.25" customHeight="1">
      <c r="A37" s="23"/>
      <c r="B37" s="18"/>
      <c r="C37" s="19" t="s">
        <v>46</v>
      </c>
      <c r="D37" s="2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22" t="str">
        <f t="shared" si="3"/>
        <v>0.00</v>
      </c>
    </row>
    <row r="38" ht="11.25" customHeight="1">
      <c r="A38" s="23"/>
      <c r="B38" s="18"/>
      <c r="C38" s="18"/>
      <c r="D38" s="20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22" t="str">
        <f t="shared" si="3"/>
        <v>0.00</v>
      </c>
    </row>
    <row r="39" ht="11.25" customHeight="1">
      <c r="A39" s="23"/>
      <c r="B39" s="19" t="s">
        <v>47</v>
      </c>
      <c r="C39" s="19" t="s">
        <v>48</v>
      </c>
      <c r="D39" s="39">
        <v>8.0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22" t="str">
        <f t="shared" si="3"/>
        <v>0.00</v>
      </c>
    </row>
    <row r="40" ht="11.25" customHeight="1">
      <c r="A40" s="23"/>
      <c r="B40" s="18"/>
      <c r="C40" s="19" t="s">
        <v>49</v>
      </c>
      <c r="D40" s="25">
        <v>20.0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2" t="str">
        <f t="shared" si="3"/>
        <v>0.00</v>
      </c>
    </row>
    <row r="41" ht="11.25" customHeight="1">
      <c r="A41" s="23"/>
      <c r="B41" s="18"/>
      <c r="C41" s="18"/>
      <c r="D41" s="2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22" t="str">
        <f t="shared" si="3"/>
        <v>0.00</v>
      </c>
    </row>
    <row r="42" ht="11.25" customHeight="1">
      <c r="A42" s="23"/>
      <c r="B42" s="19" t="s">
        <v>50</v>
      </c>
      <c r="C42" s="19" t="s">
        <v>51</v>
      </c>
      <c r="D42" s="25">
        <v>10.0</v>
      </c>
      <c r="E42" s="38"/>
      <c r="F42" s="38"/>
      <c r="G42" s="38"/>
      <c r="H42" s="38"/>
      <c r="I42" s="40"/>
      <c r="J42" s="40"/>
      <c r="K42" s="38"/>
      <c r="L42" s="38"/>
      <c r="M42" s="38"/>
      <c r="N42" s="38"/>
      <c r="O42" s="38"/>
      <c r="P42" s="38"/>
      <c r="Q42" s="22" t="str">
        <f t="shared" si="3"/>
        <v>0.00</v>
      </c>
    </row>
    <row r="43" ht="11.25" customHeight="1">
      <c r="A43" s="23"/>
      <c r="B43" s="18"/>
      <c r="C43" s="19" t="s">
        <v>52</v>
      </c>
      <c r="D43" s="2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22" t="str">
        <f t="shared" si="3"/>
        <v>0.00</v>
      </c>
    </row>
    <row r="44" ht="11.25" customHeight="1">
      <c r="A44" s="23"/>
      <c r="B44" s="18"/>
      <c r="C44" s="19" t="s">
        <v>53</v>
      </c>
      <c r="D44" s="2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2" t="str">
        <f t="shared" si="3"/>
        <v>0.00</v>
      </c>
    </row>
    <row r="45" ht="11.25" customHeight="1">
      <c r="A45" s="23"/>
      <c r="B45" s="18"/>
      <c r="C45" s="18"/>
      <c r="D45" s="2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22" t="str">
        <f t="shared" si="3"/>
        <v>0.00</v>
      </c>
    </row>
    <row r="46" ht="11.25" customHeight="1">
      <c r="A46" s="23"/>
      <c r="B46" s="19" t="s">
        <v>54</v>
      </c>
      <c r="C46" s="19" t="s">
        <v>55</v>
      </c>
      <c r="D46" s="39">
        <v>15.0</v>
      </c>
      <c r="E46" s="38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2" t="str">
        <f t="shared" si="3"/>
        <v>0.00</v>
      </c>
    </row>
    <row r="47" ht="11.25" customHeight="1">
      <c r="A47" s="23"/>
      <c r="B47" s="18"/>
      <c r="C47" s="19" t="s">
        <v>56</v>
      </c>
      <c r="D47" s="25">
        <v>10.0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22" t="str">
        <f t="shared" si="3"/>
        <v>0.00</v>
      </c>
    </row>
    <row r="48" ht="11.25" customHeight="1">
      <c r="A48" s="23"/>
      <c r="B48" s="18"/>
      <c r="C48" s="18"/>
      <c r="D48" s="2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22" t="str">
        <f t="shared" si="3"/>
        <v>0.00</v>
      </c>
    </row>
    <row r="49" ht="11.25" customHeight="1">
      <c r="A49" s="23"/>
      <c r="B49" s="19" t="s">
        <v>57</v>
      </c>
      <c r="C49" s="19" t="s">
        <v>58</v>
      </c>
      <c r="D49" s="39">
        <v>15.0</v>
      </c>
      <c r="E49" s="38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2" t="str">
        <f t="shared" si="3"/>
        <v>0.00</v>
      </c>
    </row>
    <row r="50" ht="11.25" customHeight="1">
      <c r="A50" s="23"/>
      <c r="B50" s="18"/>
      <c r="C50" s="19" t="s">
        <v>59</v>
      </c>
      <c r="D50" s="39">
        <v>18.0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22" t="str">
        <f t="shared" si="3"/>
        <v>0.00</v>
      </c>
    </row>
    <row r="51" ht="11.25" customHeight="1">
      <c r="A51" s="27"/>
      <c r="B51" s="18"/>
      <c r="C51" s="18"/>
      <c r="D51" s="20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</row>
    <row r="52" ht="11.25" customHeight="1">
      <c r="A52" s="41"/>
      <c r="B52" s="18"/>
      <c r="C52" s="29" t="s">
        <v>17</v>
      </c>
      <c r="D52" s="20"/>
      <c r="E52" s="30" t="str">
        <f t="shared" ref="E52:Q52" si="4">SUM(E20:E51)</f>
        <v>0.00</v>
      </c>
      <c r="F52" s="30" t="str">
        <f t="shared" si="4"/>
        <v>0.00</v>
      </c>
      <c r="G52" s="30" t="str">
        <f t="shared" si="4"/>
        <v>0.00</v>
      </c>
      <c r="H52" s="30" t="str">
        <f t="shared" si="4"/>
        <v>0.00</v>
      </c>
      <c r="I52" s="30" t="str">
        <f t="shared" si="4"/>
        <v>0.00</v>
      </c>
      <c r="J52" s="30" t="str">
        <f t="shared" si="4"/>
        <v>0.00</v>
      </c>
      <c r="K52" s="30" t="str">
        <f t="shared" si="4"/>
        <v>0.00</v>
      </c>
      <c r="L52" s="30" t="str">
        <f t="shared" si="4"/>
        <v>0.00</v>
      </c>
      <c r="M52" s="30" t="str">
        <f t="shared" si="4"/>
        <v>0.00</v>
      </c>
      <c r="N52" s="30" t="str">
        <f t="shared" si="4"/>
        <v>0.00</v>
      </c>
      <c r="O52" s="30" t="str">
        <f t="shared" si="4"/>
        <v>0.00</v>
      </c>
      <c r="P52" s="30" t="str">
        <f t="shared" si="4"/>
        <v>0.00</v>
      </c>
      <c r="Q52" s="22" t="str">
        <f t="shared" si="4"/>
        <v>0.00</v>
      </c>
    </row>
    <row r="53" ht="11.25" customHeight="1">
      <c r="A53" s="41"/>
      <c r="B53" s="18"/>
      <c r="C53" s="29" t="s">
        <v>60</v>
      </c>
      <c r="D53" s="20"/>
      <c r="E53" s="42" t="str">
        <f t="shared" ref="E53:P53" si="5">IFERROR(E52/E13,"%")</f>
        <v>%</v>
      </c>
      <c r="F53" s="42" t="str">
        <f t="shared" si="5"/>
        <v>%</v>
      </c>
      <c r="G53" s="42" t="str">
        <f t="shared" si="5"/>
        <v>%</v>
      </c>
      <c r="H53" s="42" t="str">
        <f t="shared" si="5"/>
        <v>%</v>
      </c>
      <c r="I53" s="42" t="str">
        <f t="shared" si="5"/>
        <v>%</v>
      </c>
      <c r="J53" s="42" t="str">
        <f t="shared" si="5"/>
        <v>%</v>
      </c>
      <c r="K53" s="42" t="str">
        <f t="shared" si="5"/>
        <v>%</v>
      </c>
      <c r="L53" s="42" t="str">
        <f t="shared" si="5"/>
        <v>%</v>
      </c>
      <c r="M53" s="42" t="str">
        <f t="shared" si="5"/>
        <v>%</v>
      </c>
      <c r="N53" s="42" t="str">
        <f t="shared" si="5"/>
        <v>%</v>
      </c>
      <c r="O53" s="42" t="str">
        <f t="shared" si="5"/>
        <v>%</v>
      </c>
      <c r="P53" s="42" t="str">
        <f t="shared" si="5"/>
        <v>%</v>
      </c>
      <c r="Q53" s="43" t="str">
        <f>Q52*100/Q13</f>
        <v>#DIV/0!</v>
      </c>
    </row>
    <row r="54" ht="11.25" customHeight="1">
      <c r="A54" s="18"/>
      <c r="B54" s="18"/>
      <c r="C54" s="18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</row>
    <row r="55" ht="11.25" customHeight="1">
      <c r="A55" s="44" t="s">
        <v>61</v>
      </c>
      <c r="B55" s="45"/>
      <c r="C55" s="45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ht="11.25" customHeight="1">
      <c r="A56" s="48" t="s">
        <v>62</v>
      </c>
      <c r="B56" s="19" t="s">
        <v>63</v>
      </c>
      <c r="C56" s="19" t="s">
        <v>64</v>
      </c>
      <c r="D56" s="39">
        <v>18.0</v>
      </c>
      <c r="E56" s="40"/>
      <c r="F56" s="40"/>
      <c r="G56" s="40"/>
      <c r="H56" s="40"/>
      <c r="I56" s="40"/>
      <c r="J56" s="40"/>
      <c r="K56" s="40"/>
      <c r="L56" s="40"/>
      <c r="M56" s="38"/>
      <c r="N56" s="38"/>
      <c r="O56" s="38"/>
      <c r="P56" s="38"/>
      <c r="Q56" s="22" t="str">
        <f t="shared" ref="Q56:Q84" si="6">SUM(E56:P56)</f>
        <v>0.00</v>
      </c>
    </row>
    <row r="57" ht="11.25" customHeight="1">
      <c r="A57" s="23"/>
      <c r="B57" s="18"/>
      <c r="C57" s="18"/>
      <c r="D57" s="2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22" t="str">
        <f t="shared" si="6"/>
        <v>0.00</v>
      </c>
    </row>
    <row r="58" ht="11.25" customHeight="1">
      <c r="A58" s="23"/>
      <c r="B58" s="19" t="s">
        <v>34</v>
      </c>
      <c r="C58" s="19" t="s">
        <v>65</v>
      </c>
      <c r="D58" s="39">
        <v>23.0</v>
      </c>
      <c r="E58" s="40"/>
      <c r="F58" s="38"/>
      <c r="G58" s="40"/>
      <c r="H58" s="40"/>
      <c r="I58" s="40"/>
      <c r="J58" s="40"/>
      <c r="K58" s="40"/>
      <c r="L58" s="38"/>
      <c r="M58" s="38"/>
      <c r="N58" s="38"/>
      <c r="O58" s="38"/>
      <c r="P58" s="38"/>
      <c r="Q58" s="22" t="str">
        <f t="shared" si="6"/>
        <v>0.00</v>
      </c>
    </row>
    <row r="59" ht="11.25" customHeight="1">
      <c r="A59" s="23"/>
      <c r="B59" s="18"/>
      <c r="C59" s="19" t="s">
        <v>66</v>
      </c>
      <c r="D59" s="20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22" t="str">
        <f t="shared" si="6"/>
        <v>0.00</v>
      </c>
    </row>
    <row r="60" ht="11.25" customHeight="1">
      <c r="A60" s="23"/>
      <c r="B60" s="18"/>
      <c r="C60" s="19" t="s">
        <v>67</v>
      </c>
      <c r="D60" s="20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22" t="str">
        <f t="shared" si="6"/>
        <v>0.00</v>
      </c>
    </row>
    <row r="61" ht="11.25" customHeight="1">
      <c r="A61" s="23"/>
      <c r="B61" s="18"/>
      <c r="C61" s="19" t="s">
        <v>68</v>
      </c>
      <c r="D61" s="39">
        <v>10.0</v>
      </c>
      <c r="E61" s="38"/>
      <c r="F61" s="40"/>
      <c r="G61" s="40"/>
      <c r="H61" s="40"/>
      <c r="I61" s="40"/>
      <c r="J61" s="40"/>
      <c r="K61" s="40"/>
      <c r="L61" s="38"/>
      <c r="M61" s="38"/>
      <c r="N61" s="38"/>
      <c r="O61" s="38"/>
      <c r="P61" s="38"/>
      <c r="Q61" s="22" t="str">
        <f t="shared" si="6"/>
        <v>0.00</v>
      </c>
    </row>
    <row r="62" ht="11.25" customHeight="1">
      <c r="A62" s="23"/>
      <c r="B62" s="18"/>
      <c r="C62" s="19" t="s">
        <v>69</v>
      </c>
      <c r="D62" s="2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22" t="str">
        <f t="shared" si="6"/>
        <v>0.00</v>
      </c>
    </row>
    <row r="63" ht="11.25" customHeight="1">
      <c r="A63" s="23"/>
      <c r="B63" s="18"/>
      <c r="C63" s="19" t="s">
        <v>70</v>
      </c>
      <c r="D63" s="2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22" t="str">
        <f t="shared" si="6"/>
        <v>0.00</v>
      </c>
    </row>
    <row r="64" ht="11.25" customHeight="1">
      <c r="A64" s="23"/>
      <c r="B64" s="18"/>
      <c r="C64" s="19" t="s">
        <v>71</v>
      </c>
      <c r="D64" s="39">
        <v>20.0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22" t="str">
        <f t="shared" si="6"/>
        <v>0.00</v>
      </c>
    </row>
    <row r="65" ht="11.25" customHeight="1">
      <c r="A65" s="23"/>
      <c r="B65" s="18"/>
      <c r="C65" s="18"/>
      <c r="D65" s="20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22" t="str">
        <f t="shared" si="6"/>
        <v>0.00</v>
      </c>
    </row>
    <row r="66" ht="11.25" customHeight="1">
      <c r="A66" s="23"/>
      <c r="B66" s="19" t="s">
        <v>41</v>
      </c>
      <c r="C66" s="19" t="s">
        <v>72</v>
      </c>
      <c r="D66" s="20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22" t="str">
        <f t="shared" si="6"/>
        <v>0.00</v>
      </c>
    </row>
    <row r="67" ht="11.25" customHeight="1">
      <c r="A67" s="23"/>
      <c r="B67" s="18"/>
      <c r="C67" s="19" t="s">
        <v>73</v>
      </c>
      <c r="D67" s="2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22" t="str">
        <f t="shared" si="6"/>
        <v>0.00</v>
      </c>
    </row>
    <row r="68" ht="11.25" customHeight="1">
      <c r="A68" s="23"/>
      <c r="B68" s="18"/>
      <c r="C68" s="19" t="s">
        <v>74</v>
      </c>
      <c r="D68" s="39">
        <v>30.0</v>
      </c>
      <c r="E68" s="40"/>
      <c r="F68" s="38"/>
      <c r="G68" s="40"/>
      <c r="H68" s="40"/>
      <c r="I68" s="40"/>
      <c r="J68" s="40"/>
      <c r="K68" s="38"/>
      <c r="L68" s="38"/>
      <c r="M68" s="38"/>
      <c r="N68" s="38"/>
      <c r="O68" s="38"/>
      <c r="P68" s="38"/>
      <c r="Q68" s="22" t="str">
        <f t="shared" si="6"/>
        <v>0.00</v>
      </c>
    </row>
    <row r="69" ht="11.25" customHeight="1">
      <c r="A69" s="23"/>
      <c r="B69" s="18"/>
      <c r="C69" s="19" t="s">
        <v>75</v>
      </c>
      <c r="D69" s="39">
        <v>30.0</v>
      </c>
      <c r="E69" s="38"/>
      <c r="F69" s="38"/>
      <c r="G69" s="40"/>
      <c r="H69" s="40"/>
      <c r="I69" s="40"/>
      <c r="J69" s="40"/>
      <c r="K69" s="38"/>
      <c r="L69" s="38"/>
      <c r="M69" s="38"/>
      <c r="N69" s="38"/>
      <c r="O69" s="38"/>
      <c r="P69" s="38"/>
      <c r="Q69" s="22" t="str">
        <f t="shared" si="6"/>
        <v>0.00</v>
      </c>
    </row>
    <row r="70" ht="11.25" customHeight="1">
      <c r="A70" s="23"/>
      <c r="B70" s="18"/>
      <c r="C70" s="18"/>
      <c r="D70" s="20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22" t="str">
        <f t="shared" si="6"/>
        <v>0.00</v>
      </c>
    </row>
    <row r="71" ht="11.25" customHeight="1">
      <c r="A71" s="23"/>
      <c r="B71" s="19" t="s">
        <v>76</v>
      </c>
      <c r="C71" s="19" t="s">
        <v>77</v>
      </c>
      <c r="D71" s="39">
        <v>5.0</v>
      </c>
      <c r="E71" s="38"/>
      <c r="F71" s="38"/>
      <c r="G71" s="40"/>
      <c r="H71" s="40"/>
      <c r="I71" s="40"/>
      <c r="J71" s="40"/>
      <c r="K71" s="38"/>
      <c r="L71" s="38"/>
      <c r="M71" s="40"/>
      <c r="N71" s="38"/>
      <c r="O71" s="38"/>
      <c r="P71" s="38"/>
      <c r="Q71" s="22" t="str">
        <f t="shared" si="6"/>
        <v>0.00</v>
      </c>
    </row>
    <row r="72" ht="11.25" customHeight="1">
      <c r="A72" s="23"/>
      <c r="B72" s="18"/>
      <c r="C72" s="19" t="s">
        <v>78</v>
      </c>
      <c r="D72" s="39">
        <v>30.0</v>
      </c>
      <c r="E72" s="38"/>
      <c r="F72" s="38"/>
      <c r="G72" s="40"/>
      <c r="H72" s="40"/>
      <c r="I72" s="40"/>
      <c r="J72" s="40"/>
      <c r="K72" s="38"/>
      <c r="L72" s="38"/>
      <c r="M72" s="38"/>
      <c r="N72" s="38"/>
      <c r="O72" s="38"/>
      <c r="P72" s="38"/>
      <c r="Q72" s="22" t="str">
        <f t="shared" si="6"/>
        <v>0.00</v>
      </c>
    </row>
    <row r="73" ht="11.25" customHeight="1">
      <c r="A73" s="23"/>
      <c r="B73" s="18"/>
      <c r="C73" s="19" t="s">
        <v>79</v>
      </c>
      <c r="D73" s="39">
        <v>30.0</v>
      </c>
      <c r="E73" s="38"/>
      <c r="F73" s="38"/>
      <c r="G73" s="40"/>
      <c r="H73" s="40"/>
      <c r="I73" s="40"/>
      <c r="J73" s="40"/>
      <c r="K73" s="38"/>
      <c r="L73" s="38"/>
      <c r="M73" s="38"/>
      <c r="N73" s="38"/>
      <c r="O73" s="38"/>
      <c r="P73" s="38"/>
      <c r="Q73" s="22" t="str">
        <f t="shared" si="6"/>
        <v>0.00</v>
      </c>
    </row>
    <row r="74" ht="11.25" customHeight="1">
      <c r="A74" s="23"/>
      <c r="B74" s="18"/>
      <c r="C74" s="19" t="s">
        <v>80</v>
      </c>
      <c r="D74" s="39">
        <v>30.0</v>
      </c>
      <c r="E74" s="38"/>
      <c r="F74" s="38"/>
      <c r="G74" s="40"/>
      <c r="H74" s="40"/>
      <c r="I74" s="40"/>
      <c r="J74" s="40"/>
      <c r="K74" s="38"/>
      <c r="L74" s="38"/>
      <c r="M74" s="38"/>
      <c r="N74" s="38"/>
      <c r="O74" s="38"/>
      <c r="P74" s="38"/>
      <c r="Q74" s="22" t="str">
        <f t="shared" si="6"/>
        <v>0.00</v>
      </c>
    </row>
    <row r="75" ht="11.25" customHeight="1">
      <c r="A75" s="23"/>
      <c r="B75" s="18"/>
      <c r="C75" s="18"/>
      <c r="D75" s="20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22" t="str">
        <f t="shared" si="6"/>
        <v>0.00</v>
      </c>
    </row>
    <row r="76" ht="11.25" customHeight="1">
      <c r="A76" s="23"/>
      <c r="B76" s="19" t="s">
        <v>47</v>
      </c>
      <c r="C76" s="19" t="s">
        <v>81</v>
      </c>
      <c r="D76" s="39">
        <v>30.0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22" t="str">
        <f t="shared" si="6"/>
        <v>0.00</v>
      </c>
    </row>
    <row r="77" ht="11.25" customHeight="1">
      <c r="A77" s="23"/>
      <c r="B77" s="18"/>
      <c r="C77" s="19" t="s">
        <v>82</v>
      </c>
      <c r="D77" s="39">
        <v>26.0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22" t="str">
        <f t="shared" si="6"/>
        <v>0.00</v>
      </c>
    </row>
    <row r="78" ht="11.25" customHeight="1">
      <c r="A78" s="23"/>
      <c r="B78" s="18"/>
      <c r="C78" s="18"/>
      <c r="D78" s="20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22" t="str">
        <f t="shared" si="6"/>
        <v>0.00</v>
      </c>
    </row>
    <row r="79" ht="11.25" customHeight="1">
      <c r="A79" s="23"/>
      <c r="B79" s="19" t="s">
        <v>83</v>
      </c>
      <c r="C79" s="19" t="s">
        <v>84</v>
      </c>
      <c r="D79" s="39">
        <v>30.0</v>
      </c>
      <c r="E79" s="38"/>
      <c r="F79" s="40"/>
      <c r="G79" s="40"/>
      <c r="H79" s="40"/>
      <c r="I79" s="40"/>
      <c r="J79" s="40"/>
      <c r="K79" s="38"/>
      <c r="L79" s="38"/>
      <c r="M79" s="40"/>
      <c r="N79" s="38"/>
      <c r="O79" s="38"/>
      <c r="P79" s="38"/>
      <c r="Q79" s="22" t="str">
        <f t="shared" si="6"/>
        <v>0.00</v>
      </c>
    </row>
    <row r="80" ht="11.25" customHeight="1">
      <c r="A80" s="23"/>
      <c r="B80" s="18"/>
      <c r="C80" s="19" t="s">
        <v>85</v>
      </c>
      <c r="D80" s="20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22" t="str">
        <f t="shared" si="6"/>
        <v>0.00</v>
      </c>
    </row>
    <row r="81" ht="11.25" customHeight="1">
      <c r="A81" s="23"/>
      <c r="B81" s="18"/>
      <c r="C81" s="19" t="s">
        <v>86</v>
      </c>
      <c r="D81" s="20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22" t="str">
        <f t="shared" si="6"/>
        <v>0.00</v>
      </c>
    </row>
    <row r="82" ht="11.25" customHeight="1">
      <c r="A82" s="23"/>
      <c r="B82" s="18"/>
      <c r="C82" s="19" t="s">
        <v>82</v>
      </c>
      <c r="D82" s="20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22" t="str">
        <f t="shared" si="6"/>
        <v>0.00</v>
      </c>
    </row>
    <row r="83" ht="11.25" customHeight="1">
      <c r="A83" s="23"/>
      <c r="B83" s="18"/>
      <c r="C83" s="19" t="s">
        <v>87</v>
      </c>
      <c r="D83" s="20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22" t="str">
        <f t="shared" si="6"/>
        <v>0.00</v>
      </c>
    </row>
    <row r="84" ht="11.25" customHeight="1">
      <c r="A84" s="27"/>
      <c r="B84" s="18"/>
      <c r="C84" s="18"/>
      <c r="D84" s="20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2" t="str">
        <f t="shared" si="6"/>
        <v>0.00</v>
      </c>
    </row>
    <row r="85" ht="11.25" customHeight="1">
      <c r="A85" s="45"/>
      <c r="B85" s="28"/>
      <c r="C85" s="29" t="s">
        <v>17</v>
      </c>
      <c r="D85" s="20"/>
      <c r="E85" s="30" t="str">
        <f t="shared" ref="E85:Q85" si="7">SUM(E56:E84)</f>
        <v>0.00</v>
      </c>
      <c r="F85" s="30" t="str">
        <f t="shared" si="7"/>
        <v>0.00</v>
      </c>
      <c r="G85" s="30" t="str">
        <f t="shared" si="7"/>
        <v>0.00</v>
      </c>
      <c r="H85" s="30" t="str">
        <f t="shared" si="7"/>
        <v>0.00</v>
      </c>
      <c r="I85" s="30" t="str">
        <f t="shared" si="7"/>
        <v>0.00</v>
      </c>
      <c r="J85" s="30" t="str">
        <f t="shared" si="7"/>
        <v>0.00</v>
      </c>
      <c r="K85" s="30" t="str">
        <f t="shared" si="7"/>
        <v>0.00</v>
      </c>
      <c r="L85" s="30" t="str">
        <f t="shared" si="7"/>
        <v>0.00</v>
      </c>
      <c r="M85" s="30" t="str">
        <f t="shared" si="7"/>
        <v>0.00</v>
      </c>
      <c r="N85" s="30" t="str">
        <f t="shared" si="7"/>
        <v>0.00</v>
      </c>
      <c r="O85" s="30" t="str">
        <f t="shared" si="7"/>
        <v>0.00</v>
      </c>
      <c r="P85" s="30" t="str">
        <f t="shared" si="7"/>
        <v>0.00</v>
      </c>
      <c r="Q85" s="22" t="str">
        <f t="shared" si="7"/>
        <v>0.00</v>
      </c>
    </row>
    <row r="86" ht="11.25" customHeight="1">
      <c r="A86" s="45"/>
      <c r="B86" s="28"/>
      <c r="C86" s="29" t="s">
        <v>60</v>
      </c>
      <c r="D86" s="20"/>
      <c r="E86" s="42" t="str">
        <f t="shared" ref="E86:P86" si="8">IFERROR(E85/E13,"%")</f>
        <v>%</v>
      </c>
      <c r="F86" s="42" t="str">
        <f t="shared" si="8"/>
        <v>%</v>
      </c>
      <c r="G86" s="42" t="str">
        <f t="shared" si="8"/>
        <v>%</v>
      </c>
      <c r="H86" s="42" t="str">
        <f t="shared" si="8"/>
        <v>%</v>
      </c>
      <c r="I86" s="42" t="str">
        <f t="shared" si="8"/>
        <v>%</v>
      </c>
      <c r="J86" s="42" t="str">
        <f t="shared" si="8"/>
        <v>%</v>
      </c>
      <c r="K86" s="42" t="str">
        <f t="shared" si="8"/>
        <v>%</v>
      </c>
      <c r="L86" s="42" t="str">
        <f t="shared" si="8"/>
        <v>%</v>
      </c>
      <c r="M86" s="42" t="str">
        <f t="shared" si="8"/>
        <v>%</v>
      </c>
      <c r="N86" s="42" t="str">
        <f t="shared" si="8"/>
        <v>%</v>
      </c>
      <c r="O86" s="42" t="str">
        <f t="shared" si="8"/>
        <v>%</v>
      </c>
      <c r="P86" s="42" t="str">
        <f t="shared" si="8"/>
        <v>%</v>
      </c>
      <c r="Q86" s="43" t="str">
        <f>Q85*100/Q13</f>
        <v>#DIV/0!</v>
      </c>
    </row>
    <row r="87" ht="11.25" customHeight="1">
      <c r="A87" s="18"/>
      <c r="B87" s="18"/>
      <c r="C87" s="18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2"/>
    </row>
    <row r="88" ht="11.25" customHeight="1">
      <c r="A88" s="49" t="s">
        <v>88</v>
      </c>
      <c r="B88" s="50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ht="11.25" customHeight="1">
      <c r="A89" s="53" t="s">
        <v>89</v>
      </c>
      <c r="B89" s="19" t="s">
        <v>47</v>
      </c>
      <c r="C89" s="19" t="s">
        <v>90</v>
      </c>
      <c r="D89" s="20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22" t="str">
        <f t="shared" ref="Q89:Q99" si="9">SUM(E89:P89)</f>
        <v>0.00</v>
      </c>
    </row>
    <row r="90" ht="11.25" customHeight="1">
      <c r="A90" s="23"/>
      <c r="B90" s="18"/>
      <c r="C90" s="19" t="s">
        <v>91</v>
      </c>
      <c r="D90" s="20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22" t="str">
        <f t="shared" si="9"/>
        <v>0.00</v>
      </c>
    </row>
    <row r="91" ht="11.25" customHeight="1">
      <c r="A91" s="23"/>
      <c r="B91" s="18"/>
      <c r="C91" s="19" t="s">
        <v>92</v>
      </c>
      <c r="D91" s="2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22" t="str">
        <f t="shared" si="9"/>
        <v>0.00</v>
      </c>
    </row>
    <row r="92" ht="11.25" customHeight="1">
      <c r="A92" s="23"/>
      <c r="B92" s="18"/>
      <c r="C92" s="18"/>
      <c r="D92" s="20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22" t="str">
        <f t="shared" si="9"/>
        <v>0.00</v>
      </c>
    </row>
    <row r="93" ht="11.25" customHeight="1">
      <c r="A93" s="23"/>
      <c r="B93" s="19" t="s">
        <v>93</v>
      </c>
      <c r="C93" s="19" t="s">
        <v>94</v>
      </c>
      <c r="D93" s="20"/>
      <c r="E93" s="38"/>
      <c r="F93" s="38"/>
      <c r="G93" s="38"/>
      <c r="H93" s="38"/>
      <c r="I93" s="38"/>
      <c r="J93" s="38"/>
      <c r="K93" s="38"/>
      <c r="L93" s="38"/>
      <c r="M93" s="40"/>
      <c r="N93" s="38"/>
      <c r="O93" s="38"/>
      <c r="P93" s="38"/>
      <c r="Q93" s="22" t="str">
        <f t="shared" si="9"/>
        <v>0.00</v>
      </c>
    </row>
    <row r="94" ht="11.25" customHeight="1">
      <c r="A94" s="23"/>
      <c r="B94" s="18"/>
      <c r="C94" s="19" t="s">
        <v>95</v>
      </c>
      <c r="D94" s="39">
        <v>30.0</v>
      </c>
      <c r="E94" s="38"/>
      <c r="F94" s="38"/>
      <c r="G94" s="38"/>
      <c r="H94" s="40"/>
      <c r="I94" s="40"/>
      <c r="J94" s="40"/>
      <c r="K94" s="38"/>
      <c r="L94" s="38"/>
      <c r="M94" s="38"/>
      <c r="N94" s="38"/>
      <c r="O94" s="38"/>
      <c r="P94" s="38"/>
      <c r="Q94" s="22" t="str">
        <f t="shared" si="9"/>
        <v>0.00</v>
      </c>
    </row>
    <row r="95" ht="11.25" customHeight="1">
      <c r="A95" s="23"/>
      <c r="B95" s="18"/>
      <c r="C95" s="18"/>
      <c r="D95" s="20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22" t="str">
        <f t="shared" si="9"/>
        <v>0.00</v>
      </c>
    </row>
    <row r="96" ht="11.25" customHeight="1">
      <c r="A96" s="23"/>
      <c r="B96" s="19" t="s">
        <v>50</v>
      </c>
      <c r="C96" s="19" t="s">
        <v>96</v>
      </c>
      <c r="D96" s="20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22" t="str">
        <f t="shared" si="9"/>
        <v>0.00</v>
      </c>
    </row>
    <row r="97" ht="11.25" customHeight="1">
      <c r="A97" s="23"/>
      <c r="B97" s="18"/>
      <c r="C97" s="19" t="s">
        <v>97</v>
      </c>
      <c r="D97" s="20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22" t="str">
        <f t="shared" si="9"/>
        <v>0.00</v>
      </c>
    </row>
    <row r="98" ht="11.25" customHeight="1">
      <c r="A98" s="27"/>
      <c r="B98" s="18"/>
      <c r="C98" s="18"/>
      <c r="D98" s="20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22" t="str">
        <f t="shared" si="9"/>
        <v>0.00</v>
      </c>
    </row>
    <row r="99" ht="11.25" customHeight="1">
      <c r="A99" s="50"/>
      <c r="B99" s="28"/>
      <c r="C99" s="29" t="s">
        <v>17</v>
      </c>
      <c r="D99" s="20"/>
      <c r="E99" s="30" t="str">
        <f t="shared" ref="E99:P99" si="10">SUM(E89:E98)</f>
        <v>0.00</v>
      </c>
      <c r="F99" s="30" t="str">
        <f t="shared" si="10"/>
        <v>0.00</v>
      </c>
      <c r="G99" s="30" t="str">
        <f t="shared" si="10"/>
        <v>0.00</v>
      </c>
      <c r="H99" s="30" t="str">
        <f t="shared" si="10"/>
        <v>0.00</v>
      </c>
      <c r="I99" s="30" t="str">
        <f t="shared" si="10"/>
        <v>0.00</v>
      </c>
      <c r="J99" s="30" t="str">
        <f t="shared" si="10"/>
        <v>0.00</v>
      </c>
      <c r="K99" s="30" t="str">
        <f t="shared" si="10"/>
        <v>0.00</v>
      </c>
      <c r="L99" s="30" t="str">
        <f t="shared" si="10"/>
        <v>0.00</v>
      </c>
      <c r="M99" s="30" t="str">
        <f t="shared" si="10"/>
        <v>0.00</v>
      </c>
      <c r="N99" s="30" t="str">
        <f t="shared" si="10"/>
        <v>0.00</v>
      </c>
      <c r="O99" s="30" t="str">
        <f t="shared" si="10"/>
        <v>0.00</v>
      </c>
      <c r="P99" s="30" t="str">
        <f t="shared" si="10"/>
        <v>0.00</v>
      </c>
      <c r="Q99" s="22" t="str">
        <f t="shared" si="9"/>
        <v>0.00</v>
      </c>
    </row>
    <row r="100" ht="11.25" customHeight="1">
      <c r="A100" s="50"/>
      <c r="B100" s="28"/>
      <c r="C100" s="29" t="s">
        <v>60</v>
      </c>
      <c r="D100" s="20"/>
      <c r="E100" s="42" t="str">
        <f t="shared" ref="E100:P100" si="11">IFERROR(E99/E13,"%")</f>
        <v>%</v>
      </c>
      <c r="F100" s="42" t="str">
        <f t="shared" si="11"/>
        <v>%</v>
      </c>
      <c r="G100" s="42" t="str">
        <f t="shared" si="11"/>
        <v>%</v>
      </c>
      <c r="H100" s="42" t="str">
        <f t="shared" si="11"/>
        <v>%</v>
      </c>
      <c r="I100" s="42" t="str">
        <f t="shared" si="11"/>
        <v>%</v>
      </c>
      <c r="J100" s="42" t="str">
        <f t="shared" si="11"/>
        <v>%</v>
      </c>
      <c r="K100" s="42" t="str">
        <f t="shared" si="11"/>
        <v>%</v>
      </c>
      <c r="L100" s="42" t="str">
        <f t="shared" si="11"/>
        <v>%</v>
      </c>
      <c r="M100" s="42" t="str">
        <f t="shared" si="11"/>
        <v>%</v>
      </c>
      <c r="N100" s="42" t="str">
        <f t="shared" si="11"/>
        <v>%</v>
      </c>
      <c r="O100" s="42" t="str">
        <f t="shared" si="11"/>
        <v>%</v>
      </c>
      <c r="P100" s="42" t="str">
        <f t="shared" si="11"/>
        <v>%</v>
      </c>
      <c r="Q100" s="54" t="str">
        <f>Q99*100/Q13</f>
        <v>#DIV/0!</v>
      </c>
    </row>
    <row r="101" ht="11.25" customHeight="1">
      <c r="A101" s="18"/>
      <c r="B101" s="18"/>
      <c r="C101" s="18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2"/>
    </row>
    <row r="102" ht="11.25" customHeight="1">
      <c r="A102" s="55" t="s">
        <v>98</v>
      </c>
      <c r="B102" s="56"/>
      <c r="C102" s="56"/>
      <c r="D102" s="57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ht="11.25" customHeight="1">
      <c r="A103" s="59" t="s">
        <v>99</v>
      </c>
      <c r="B103" s="19" t="s">
        <v>100</v>
      </c>
      <c r="C103" s="19" t="s">
        <v>101</v>
      </c>
      <c r="D103" s="39">
        <v>30.0</v>
      </c>
      <c r="E103" s="38"/>
      <c r="F103" s="40"/>
      <c r="G103" s="40"/>
      <c r="H103" s="40"/>
      <c r="I103" s="40"/>
      <c r="J103" s="38"/>
      <c r="K103" s="38"/>
      <c r="L103" s="38"/>
      <c r="M103" s="38"/>
      <c r="N103" s="38"/>
      <c r="O103" s="38"/>
      <c r="P103" s="38"/>
      <c r="Q103" s="22" t="str">
        <f t="shared" ref="Q103:Q116" si="12">SUM(E103:P103)</f>
        <v>0.00</v>
      </c>
    </row>
    <row r="104" ht="11.25" customHeight="1">
      <c r="A104" s="23"/>
      <c r="B104" s="18"/>
      <c r="C104" s="19" t="s">
        <v>102</v>
      </c>
      <c r="D104" s="39">
        <v>30.0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22" t="str">
        <f t="shared" si="12"/>
        <v>0.00</v>
      </c>
    </row>
    <row r="105" ht="11.25" customHeight="1">
      <c r="A105" s="23"/>
      <c r="B105" s="18"/>
      <c r="C105" s="19" t="s">
        <v>103</v>
      </c>
      <c r="D105" s="39">
        <v>30.0</v>
      </c>
      <c r="E105" s="38"/>
      <c r="F105" s="38"/>
      <c r="G105" s="38"/>
      <c r="H105" s="38"/>
      <c r="I105" s="40"/>
      <c r="J105" s="40"/>
      <c r="K105" s="38"/>
      <c r="L105" s="38"/>
      <c r="M105" s="38"/>
      <c r="N105" s="38"/>
      <c r="O105" s="38"/>
      <c r="P105" s="38"/>
      <c r="Q105" s="22" t="str">
        <f t="shared" si="12"/>
        <v>0.00</v>
      </c>
    </row>
    <row r="106" ht="11.25" customHeight="1">
      <c r="A106" s="23"/>
      <c r="B106" s="18"/>
      <c r="C106" s="19" t="s">
        <v>104</v>
      </c>
      <c r="D106" s="20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22" t="str">
        <f t="shared" si="12"/>
        <v>0.00</v>
      </c>
    </row>
    <row r="107" ht="11.25" customHeight="1">
      <c r="A107" s="23"/>
      <c r="B107" s="18"/>
      <c r="C107" s="18"/>
      <c r="D107" s="20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22" t="str">
        <f t="shared" si="12"/>
        <v>0.00</v>
      </c>
    </row>
    <row r="108" ht="11.25" customHeight="1">
      <c r="A108" s="23"/>
      <c r="B108" s="19" t="s">
        <v>50</v>
      </c>
      <c r="C108" s="19" t="s">
        <v>105</v>
      </c>
      <c r="D108" s="20"/>
      <c r="E108" s="38"/>
      <c r="F108" s="40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22" t="str">
        <f t="shared" si="12"/>
        <v>0.00</v>
      </c>
    </row>
    <row r="109" ht="11.25" customHeight="1">
      <c r="A109" s="23"/>
      <c r="B109" s="18"/>
      <c r="C109" s="18"/>
      <c r="D109" s="20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22" t="str">
        <f t="shared" si="12"/>
        <v>0.00</v>
      </c>
    </row>
    <row r="110" ht="11.25" customHeight="1">
      <c r="A110" s="23"/>
      <c r="B110" s="19" t="s">
        <v>106</v>
      </c>
      <c r="C110" s="19" t="s">
        <v>107</v>
      </c>
      <c r="D110" s="39">
        <v>30.0</v>
      </c>
      <c r="E110" s="38"/>
      <c r="F110" s="38"/>
      <c r="G110" s="38"/>
      <c r="H110" s="38"/>
      <c r="I110" s="40"/>
      <c r="J110" s="38"/>
      <c r="K110" s="38"/>
      <c r="L110" s="38"/>
      <c r="M110" s="38"/>
      <c r="N110" s="38"/>
      <c r="O110" s="38"/>
      <c r="P110" s="38"/>
      <c r="Q110" s="22" t="str">
        <f t="shared" si="12"/>
        <v>0.00</v>
      </c>
    </row>
    <row r="111" ht="11.25" customHeight="1">
      <c r="A111" s="23"/>
      <c r="B111" s="18"/>
      <c r="C111" s="19" t="s">
        <v>108</v>
      </c>
      <c r="D111" s="20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22" t="str">
        <f t="shared" si="12"/>
        <v>0.00</v>
      </c>
    </row>
    <row r="112" ht="11.25" customHeight="1">
      <c r="A112" s="23"/>
      <c r="B112" s="18"/>
      <c r="C112" s="19" t="s">
        <v>109</v>
      </c>
      <c r="D112" s="20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22" t="str">
        <f t="shared" si="12"/>
        <v>0.00</v>
      </c>
    </row>
    <row r="113" ht="11.25" customHeight="1">
      <c r="A113" s="23"/>
      <c r="B113" s="18"/>
      <c r="C113" s="18"/>
      <c r="D113" s="20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22" t="str">
        <f t="shared" si="12"/>
        <v>0.00</v>
      </c>
    </row>
    <row r="114" ht="11.25" customHeight="1">
      <c r="A114" s="23"/>
      <c r="B114" s="19" t="s">
        <v>57</v>
      </c>
      <c r="C114" s="19" t="s">
        <v>26</v>
      </c>
      <c r="D114" s="39">
        <v>30.0</v>
      </c>
      <c r="E114" s="38"/>
      <c r="F114" s="38"/>
      <c r="G114" s="38"/>
      <c r="H114" s="40"/>
      <c r="I114" s="40"/>
      <c r="J114" s="38"/>
      <c r="K114" s="38"/>
      <c r="L114" s="38"/>
      <c r="M114" s="38"/>
      <c r="N114" s="38"/>
      <c r="O114" s="38"/>
      <c r="P114" s="38"/>
      <c r="Q114" s="22" t="str">
        <f t="shared" si="12"/>
        <v>0.00</v>
      </c>
    </row>
    <row r="115" ht="11.25" customHeight="1">
      <c r="A115" s="23"/>
      <c r="B115" s="18"/>
      <c r="C115" s="19" t="s">
        <v>57</v>
      </c>
      <c r="D115" s="20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22" t="str">
        <f t="shared" si="12"/>
        <v>0.00</v>
      </c>
    </row>
    <row r="116" ht="11.25" customHeight="1">
      <c r="A116" s="27"/>
      <c r="B116" s="18"/>
      <c r="C116" s="18"/>
      <c r="D116" s="20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22" t="str">
        <f t="shared" si="12"/>
        <v>0.00</v>
      </c>
    </row>
    <row r="117" ht="11.25" customHeight="1">
      <c r="A117" s="56"/>
      <c r="B117" s="28"/>
      <c r="C117" s="29" t="s">
        <v>17</v>
      </c>
      <c r="D117" s="20"/>
      <c r="E117" s="30" t="str">
        <f t="shared" ref="E117:Q117" si="13">SUM(E103:E116)</f>
        <v>0.00</v>
      </c>
      <c r="F117" s="30" t="str">
        <f t="shared" si="13"/>
        <v>0.00</v>
      </c>
      <c r="G117" s="30" t="str">
        <f t="shared" si="13"/>
        <v>0.00</v>
      </c>
      <c r="H117" s="30" t="str">
        <f t="shared" si="13"/>
        <v>0.00</v>
      </c>
      <c r="I117" s="30" t="str">
        <f t="shared" si="13"/>
        <v>0.00</v>
      </c>
      <c r="J117" s="30" t="str">
        <f t="shared" si="13"/>
        <v>0.00</v>
      </c>
      <c r="K117" s="30" t="str">
        <f t="shared" si="13"/>
        <v>0.00</v>
      </c>
      <c r="L117" s="30" t="str">
        <f t="shared" si="13"/>
        <v>0.00</v>
      </c>
      <c r="M117" s="30" t="str">
        <f t="shared" si="13"/>
        <v>0.00</v>
      </c>
      <c r="N117" s="30" t="str">
        <f t="shared" si="13"/>
        <v>0.00</v>
      </c>
      <c r="O117" s="30" t="str">
        <f t="shared" si="13"/>
        <v>0.00</v>
      </c>
      <c r="P117" s="30" t="str">
        <f t="shared" si="13"/>
        <v>0.00</v>
      </c>
      <c r="Q117" s="22" t="str">
        <f t="shared" si="13"/>
        <v>0.00</v>
      </c>
    </row>
    <row r="118" ht="11.25" customHeight="1">
      <c r="A118" s="56"/>
      <c r="B118" s="28"/>
      <c r="C118" s="29" t="s">
        <v>60</v>
      </c>
      <c r="D118" s="20"/>
      <c r="E118" s="42" t="str">
        <f t="shared" ref="E118:P118" si="14">IFERROR(E117/E13,"%")</f>
        <v>%</v>
      </c>
      <c r="F118" s="42" t="str">
        <f t="shared" si="14"/>
        <v>%</v>
      </c>
      <c r="G118" s="42" t="str">
        <f t="shared" si="14"/>
        <v>%</v>
      </c>
      <c r="H118" s="42" t="str">
        <f t="shared" si="14"/>
        <v>%</v>
      </c>
      <c r="I118" s="42" t="str">
        <f t="shared" si="14"/>
        <v>%</v>
      </c>
      <c r="J118" s="42" t="str">
        <f t="shared" si="14"/>
        <v>%</v>
      </c>
      <c r="K118" s="42" t="str">
        <f t="shared" si="14"/>
        <v>%</v>
      </c>
      <c r="L118" s="42" t="str">
        <f t="shared" si="14"/>
        <v>%</v>
      </c>
      <c r="M118" s="42" t="str">
        <f t="shared" si="14"/>
        <v>%</v>
      </c>
      <c r="N118" s="42" t="str">
        <f t="shared" si="14"/>
        <v>%</v>
      </c>
      <c r="O118" s="42" t="str">
        <f t="shared" si="14"/>
        <v>%</v>
      </c>
      <c r="P118" s="42" t="str">
        <f t="shared" si="14"/>
        <v>%</v>
      </c>
      <c r="Q118" s="43" t="str">
        <f>Q117*100/Q13</f>
        <v>#DIV/0!</v>
      </c>
    </row>
    <row r="119" ht="11.25" customHeight="1">
      <c r="A119" s="18"/>
      <c r="B119" s="18"/>
      <c r="C119" s="18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2"/>
    </row>
    <row r="120" ht="12.0" customHeight="1">
      <c r="A120" s="18"/>
      <c r="B120" s="18"/>
      <c r="C120" s="18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2"/>
    </row>
    <row r="121" ht="12.0" customHeight="1">
      <c r="A121" s="8" t="s">
        <v>110</v>
      </c>
      <c r="B121" s="60"/>
      <c r="C121" s="60"/>
      <c r="D121" s="61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3"/>
    </row>
    <row r="122" ht="13.5" customHeight="1">
      <c r="A122" s="29" t="s">
        <v>111</v>
      </c>
      <c r="B122" s="64"/>
      <c r="C122" s="65" t="s">
        <v>18</v>
      </c>
      <c r="D122" s="20"/>
      <c r="E122" s="66" t="str">
        <f t="shared" ref="E122:Q122" si="15">E13</f>
        <v>0.00</v>
      </c>
      <c r="F122" s="66" t="str">
        <f t="shared" si="15"/>
        <v>0.00</v>
      </c>
      <c r="G122" s="66" t="str">
        <f t="shared" si="15"/>
        <v>0.00</v>
      </c>
      <c r="H122" s="66" t="str">
        <f t="shared" si="15"/>
        <v>0.00</v>
      </c>
      <c r="I122" s="66" t="str">
        <f t="shared" si="15"/>
        <v>0.00</v>
      </c>
      <c r="J122" s="66" t="str">
        <f t="shared" si="15"/>
        <v>0.00</v>
      </c>
      <c r="K122" s="66" t="str">
        <f t="shared" si="15"/>
        <v>0.00</v>
      </c>
      <c r="L122" s="66" t="str">
        <f t="shared" si="15"/>
        <v>0.00</v>
      </c>
      <c r="M122" s="66" t="str">
        <f t="shared" si="15"/>
        <v>0.00</v>
      </c>
      <c r="N122" s="66" t="str">
        <f t="shared" si="15"/>
        <v>0.00</v>
      </c>
      <c r="O122" s="66" t="str">
        <f t="shared" si="15"/>
        <v>0.00</v>
      </c>
      <c r="P122" s="66" t="str">
        <f t="shared" si="15"/>
        <v>0.00</v>
      </c>
      <c r="Q122" s="67" t="str">
        <f t="shared" si="15"/>
        <v>0.00</v>
      </c>
    </row>
    <row r="123" ht="12.0" customHeight="1">
      <c r="A123" s="68" t="s">
        <v>112</v>
      </c>
      <c r="B123" s="69"/>
      <c r="C123" s="70" t="s">
        <v>113</v>
      </c>
      <c r="D123" s="20"/>
      <c r="E123" s="71" t="str">
        <f t="shared" ref="E123:Q123" si="16">E52</f>
        <v>0.00</v>
      </c>
      <c r="F123" s="71" t="str">
        <f t="shared" si="16"/>
        <v>0.00</v>
      </c>
      <c r="G123" s="71" t="str">
        <f t="shared" si="16"/>
        <v>0.00</v>
      </c>
      <c r="H123" s="71" t="str">
        <f t="shared" si="16"/>
        <v>0.00</v>
      </c>
      <c r="I123" s="71" t="str">
        <f t="shared" si="16"/>
        <v>0.00</v>
      </c>
      <c r="J123" s="71" t="str">
        <f t="shared" si="16"/>
        <v>0.00</v>
      </c>
      <c r="K123" s="71" t="str">
        <f t="shared" si="16"/>
        <v>0.00</v>
      </c>
      <c r="L123" s="71" t="str">
        <f t="shared" si="16"/>
        <v>0.00</v>
      </c>
      <c r="M123" s="71" t="str">
        <f t="shared" si="16"/>
        <v>0.00</v>
      </c>
      <c r="N123" s="71" t="str">
        <f t="shared" si="16"/>
        <v>0.00</v>
      </c>
      <c r="O123" s="71" t="str">
        <f t="shared" si="16"/>
        <v>0.00</v>
      </c>
      <c r="P123" s="71" t="str">
        <f t="shared" si="16"/>
        <v>0.00</v>
      </c>
      <c r="Q123" s="67" t="str">
        <f t="shared" si="16"/>
        <v>0.00</v>
      </c>
    </row>
    <row r="124" ht="12.0" customHeight="1">
      <c r="A124" s="23"/>
      <c r="B124" s="69"/>
      <c r="C124" s="70" t="s">
        <v>114</v>
      </c>
      <c r="D124" s="20"/>
      <c r="E124" s="71" t="str">
        <f t="shared" ref="E124:Q124" si="17">E85</f>
        <v>0.00</v>
      </c>
      <c r="F124" s="71" t="str">
        <f t="shared" si="17"/>
        <v>0.00</v>
      </c>
      <c r="G124" s="71" t="str">
        <f t="shared" si="17"/>
        <v>0.00</v>
      </c>
      <c r="H124" s="71" t="str">
        <f t="shared" si="17"/>
        <v>0.00</v>
      </c>
      <c r="I124" s="71" t="str">
        <f t="shared" si="17"/>
        <v>0.00</v>
      </c>
      <c r="J124" s="71" t="str">
        <f t="shared" si="17"/>
        <v>0.00</v>
      </c>
      <c r="K124" s="71" t="str">
        <f t="shared" si="17"/>
        <v>0.00</v>
      </c>
      <c r="L124" s="71" t="str">
        <f t="shared" si="17"/>
        <v>0.00</v>
      </c>
      <c r="M124" s="71" t="str">
        <f t="shared" si="17"/>
        <v>0.00</v>
      </c>
      <c r="N124" s="71" t="str">
        <f t="shared" si="17"/>
        <v>0.00</v>
      </c>
      <c r="O124" s="71" t="str">
        <f t="shared" si="17"/>
        <v>0.00</v>
      </c>
      <c r="P124" s="71" t="str">
        <f t="shared" si="17"/>
        <v>0.00</v>
      </c>
      <c r="Q124" s="67" t="str">
        <f t="shared" si="17"/>
        <v>0.00</v>
      </c>
    </row>
    <row r="125" ht="12.0" customHeight="1">
      <c r="A125" s="23"/>
      <c r="B125" s="69"/>
      <c r="C125" s="70" t="s">
        <v>115</v>
      </c>
      <c r="D125" s="20"/>
      <c r="E125" s="71" t="str">
        <f t="shared" ref="E125:Q125" si="18">E99</f>
        <v>0.00</v>
      </c>
      <c r="F125" s="71" t="str">
        <f t="shared" si="18"/>
        <v>0.00</v>
      </c>
      <c r="G125" s="71" t="str">
        <f t="shared" si="18"/>
        <v>0.00</v>
      </c>
      <c r="H125" s="71" t="str">
        <f t="shared" si="18"/>
        <v>0.00</v>
      </c>
      <c r="I125" s="71" t="str">
        <f t="shared" si="18"/>
        <v>0.00</v>
      </c>
      <c r="J125" s="71" t="str">
        <f t="shared" si="18"/>
        <v>0.00</v>
      </c>
      <c r="K125" s="71" t="str">
        <f t="shared" si="18"/>
        <v>0.00</v>
      </c>
      <c r="L125" s="71" t="str">
        <f t="shared" si="18"/>
        <v>0.00</v>
      </c>
      <c r="M125" s="71" t="str">
        <f t="shared" si="18"/>
        <v>0.00</v>
      </c>
      <c r="N125" s="71" t="str">
        <f t="shared" si="18"/>
        <v>0.00</v>
      </c>
      <c r="O125" s="71" t="str">
        <f t="shared" si="18"/>
        <v>0.00</v>
      </c>
      <c r="P125" s="71" t="str">
        <f t="shared" si="18"/>
        <v>0.00</v>
      </c>
      <c r="Q125" s="67" t="str">
        <f t="shared" si="18"/>
        <v>0.00</v>
      </c>
    </row>
    <row r="126" ht="12.0" customHeight="1">
      <c r="A126" s="23"/>
      <c r="B126" s="69"/>
      <c r="C126" s="70" t="s">
        <v>116</v>
      </c>
      <c r="D126" s="20"/>
      <c r="E126" s="71" t="str">
        <f t="shared" ref="E126:Q126" si="19">E117</f>
        <v>0.00</v>
      </c>
      <c r="F126" s="71" t="str">
        <f t="shared" si="19"/>
        <v>0.00</v>
      </c>
      <c r="G126" s="71" t="str">
        <f t="shared" si="19"/>
        <v>0.00</v>
      </c>
      <c r="H126" s="71" t="str">
        <f t="shared" si="19"/>
        <v>0.00</v>
      </c>
      <c r="I126" s="71" t="str">
        <f t="shared" si="19"/>
        <v>0.00</v>
      </c>
      <c r="J126" s="71" t="str">
        <f t="shared" si="19"/>
        <v>0.00</v>
      </c>
      <c r="K126" s="71" t="str">
        <f t="shared" si="19"/>
        <v>0.00</v>
      </c>
      <c r="L126" s="71" t="str">
        <f t="shared" si="19"/>
        <v>0.00</v>
      </c>
      <c r="M126" s="71" t="str">
        <f t="shared" si="19"/>
        <v>0.00</v>
      </c>
      <c r="N126" s="71" t="str">
        <f t="shared" si="19"/>
        <v>0.00</v>
      </c>
      <c r="O126" s="71" t="str">
        <f t="shared" si="19"/>
        <v>0.00</v>
      </c>
      <c r="P126" s="71" t="str">
        <f t="shared" si="19"/>
        <v>0.00</v>
      </c>
      <c r="Q126" s="67" t="str">
        <f t="shared" si="19"/>
        <v>0.00</v>
      </c>
    </row>
    <row r="127" ht="12.0" customHeight="1">
      <c r="A127" s="23"/>
      <c r="B127" s="69"/>
      <c r="C127" s="69"/>
      <c r="D127" s="2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67"/>
    </row>
    <row r="128" ht="12.0" customHeight="1">
      <c r="A128" s="23"/>
      <c r="B128" s="69"/>
      <c r="C128" s="70" t="s">
        <v>110</v>
      </c>
      <c r="D128" s="20"/>
      <c r="E128" s="66" t="str">
        <f t="shared" ref="E128:Q128" si="20">E122-(SUM(E123:E126))</f>
        <v>0.00</v>
      </c>
      <c r="F128" s="66" t="str">
        <f t="shared" si="20"/>
        <v>0.00</v>
      </c>
      <c r="G128" s="66" t="str">
        <f t="shared" si="20"/>
        <v>0.00</v>
      </c>
      <c r="H128" s="66" t="str">
        <f t="shared" si="20"/>
        <v>0.00</v>
      </c>
      <c r="I128" s="66" t="str">
        <f t="shared" si="20"/>
        <v>0.00</v>
      </c>
      <c r="J128" s="66" t="str">
        <f t="shared" si="20"/>
        <v>0.00</v>
      </c>
      <c r="K128" s="66" t="str">
        <f t="shared" si="20"/>
        <v>0.00</v>
      </c>
      <c r="L128" s="66" t="str">
        <f t="shared" si="20"/>
        <v>0.00</v>
      </c>
      <c r="M128" s="66" t="str">
        <f t="shared" si="20"/>
        <v>0.00</v>
      </c>
      <c r="N128" s="66" t="str">
        <f t="shared" si="20"/>
        <v>0.00</v>
      </c>
      <c r="O128" s="66" t="str">
        <f t="shared" si="20"/>
        <v>0.00</v>
      </c>
      <c r="P128" s="66" t="str">
        <f t="shared" si="20"/>
        <v>0.00</v>
      </c>
      <c r="Q128" s="67" t="str">
        <f t="shared" si="20"/>
        <v>0.00</v>
      </c>
    </row>
    <row r="129" ht="11.25" customHeight="1">
      <c r="A129" s="23"/>
      <c r="B129" s="18"/>
      <c r="C129" s="19" t="s">
        <v>60</v>
      </c>
      <c r="D129" s="20"/>
      <c r="E129" s="72" t="str">
        <f t="shared" ref="E129:P129" si="21">IFERROR(E128*100/E13,"%")</f>
        <v>%</v>
      </c>
      <c r="F129" s="72" t="str">
        <f t="shared" si="21"/>
        <v>%</v>
      </c>
      <c r="G129" s="72" t="str">
        <f t="shared" si="21"/>
        <v>%</v>
      </c>
      <c r="H129" s="72" t="str">
        <f t="shared" si="21"/>
        <v>%</v>
      </c>
      <c r="I129" s="72" t="str">
        <f t="shared" si="21"/>
        <v>%</v>
      </c>
      <c r="J129" s="72" t="str">
        <f t="shared" si="21"/>
        <v>%</v>
      </c>
      <c r="K129" s="72" t="str">
        <f t="shared" si="21"/>
        <v>%</v>
      </c>
      <c r="L129" s="72" t="str">
        <f t="shared" si="21"/>
        <v>%</v>
      </c>
      <c r="M129" s="72" t="str">
        <f t="shared" si="21"/>
        <v>%</v>
      </c>
      <c r="N129" s="72" t="str">
        <f t="shared" si="21"/>
        <v>%</v>
      </c>
      <c r="O129" s="72" t="str">
        <f t="shared" si="21"/>
        <v>%</v>
      </c>
      <c r="P129" s="72" t="str">
        <f t="shared" si="21"/>
        <v>%</v>
      </c>
      <c r="Q129" s="73" t="str">
        <f>Q128*100/Q13</f>
        <v>#DIV/0!</v>
      </c>
    </row>
    <row r="130" ht="11.25" customHeight="1">
      <c r="A130" s="23"/>
      <c r="B130" s="18"/>
      <c r="C130" s="18"/>
      <c r="D130" s="20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5"/>
    </row>
    <row r="131" ht="11.25" customHeight="1">
      <c r="A131" s="23"/>
      <c r="B131" s="18"/>
      <c r="C131" s="19" t="s">
        <v>117</v>
      </c>
      <c r="D131" s="20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7"/>
    </row>
    <row r="132" ht="11.25" customHeight="1">
      <c r="A132" s="23"/>
      <c r="B132" s="18"/>
      <c r="C132" s="19" t="s">
        <v>60</v>
      </c>
      <c r="D132" s="20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5"/>
    </row>
    <row r="133" ht="11.25" customHeight="1">
      <c r="A133" s="23"/>
      <c r="B133" s="18"/>
      <c r="C133" s="18"/>
      <c r="D133" s="20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5"/>
    </row>
    <row r="134" ht="11.25" customHeight="1">
      <c r="A134" s="27"/>
      <c r="B134" s="18"/>
      <c r="C134" s="19" t="s">
        <v>118</v>
      </c>
      <c r="D134" s="2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9"/>
    </row>
    <row r="135" ht="11.25" customHeight="1">
      <c r="A135" s="18"/>
      <c r="B135" s="18"/>
      <c r="C135" s="19" t="s">
        <v>60</v>
      </c>
      <c r="D135" s="20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5"/>
    </row>
  </sheetData>
  <mergeCells count="6">
    <mergeCell ref="A5:A12"/>
    <mergeCell ref="A20:A51"/>
    <mergeCell ref="A56:A84"/>
    <mergeCell ref="A89:A98"/>
    <mergeCell ref="A103:A116"/>
    <mergeCell ref="A123:A134"/>
  </mergeCells>
  <drawing r:id="rId1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3" width="17.29"/>
    <col customWidth="1" min="4" max="6" width="9.0"/>
  </cols>
  <sheetData>
    <row r="1" ht="11.25" customHeight="1">
      <c r="A1" s="3" t="s">
        <v>1</v>
      </c>
      <c r="B1" s="3" t="s">
        <v>2</v>
      </c>
      <c r="C1" s="3" t="s">
        <v>3</v>
      </c>
      <c r="D1" s="4" t="s">
        <v>14</v>
      </c>
      <c r="E1" s="4" t="s">
        <v>15</v>
      </c>
      <c r="F1" s="4" t="s">
        <v>16</v>
      </c>
    </row>
    <row r="2" ht="11.25" customHeight="1">
      <c r="A2" s="8" t="s">
        <v>18</v>
      </c>
      <c r="B2" s="80"/>
      <c r="C2" s="9"/>
      <c r="D2" s="11"/>
      <c r="E2" s="11"/>
      <c r="F2" s="11"/>
    </row>
    <row r="3" ht="11.25" customHeight="1">
      <c r="A3" s="13" t="s">
        <v>19</v>
      </c>
      <c r="B3" s="14"/>
      <c r="C3" s="14"/>
      <c r="D3" s="16" t="s">
        <v>20</v>
      </c>
      <c r="E3" s="16" t="s">
        <v>20</v>
      </c>
      <c r="F3" s="16" t="s">
        <v>20</v>
      </c>
    </row>
    <row r="4" ht="11.25" customHeight="1">
      <c r="A4" s="17"/>
      <c r="B4" s="29" t="s">
        <v>119</v>
      </c>
      <c r="C4" s="18"/>
      <c r="D4" s="21"/>
      <c r="E4" s="21"/>
      <c r="F4" s="21"/>
    </row>
    <row r="5" ht="11.25" customHeight="1">
      <c r="A5" s="23"/>
      <c r="B5" s="81" t="str">
        <f>D5*100/D12</f>
        <v>78.95</v>
      </c>
      <c r="C5" s="19" t="s">
        <v>120</v>
      </c>
      <c r="D5" s="26">
        <v>6600.0</v>
      </c>
      <c r="E5" s="26">
        <v>6988.34</v>
      </c>
      <c r="F5" s="40">
        <v>6768.84</v>
      </c>
    </row>
    <row r="6" ht="11.25" customHeight="1">
      <c r="A6" s="23"/>
      <c r="B6" s="81" t="str">
        <f>D6*100/D12</f>
        <v>21.05</v>
      </c>
      <c r="C6" s="19" t="s">
        <v>121</v>
      </c>
      <c r="D6" s="26">
        <v>1760.0</v>
      </c>
      <c r="E6" s="82">
        <v>2200.0</v>
      </c>
      <c r="F6" s="40">
        <v>1500.0</v>
      </c>
    </row>
    <row r="7" ht="11.25" customHeight="1">
      <c r="A7" s="23"/>
      <c r="B7" s="28"/>
      <c r="C7" s="18"/>
      <c r="D7" s="21"/>
      <c r="E7" s="21"/>
      <c r="F7" s="38"/>
    </row>
    <row r="8" ht="11.25" customHeight="1">
      <c r="A8" s="23"/>
      <c r="B8" s="29" t="s">
        <v>28</v>
      </c>
      <c r="C8" s="19" t="s">
        <v>26</v>
      </c>
      <c r="D8" s="21"/>
      <c r="E8" s="26">
        <v>3500.0</v>
      </c>
      <c r="F8" s="40">
        <v>3418.84</v>
      </c>
    </row>
    <row r="9" ht="11.25" customHeight="1">
      <c r="A9" s="23"/>
      <c r="B9" s="28"/>
      <c r="C9" s="19" t="s">
        <v>122</v>
      </c>
      <c r="D9" s="21"/>
      <c r="E9" s="21"/>
      <c r="F9" s="26">
        <v>400.0</v>
      </c>
    </row>
    <row r="10" ht="11.25" customHeight="1">
      <c r="A10" s="23"/>
      <c r="B10" s="28"/>
      <c r="C10" s="19" t="s">
        <v>123</v>
      </c>
      <c r="D10" s="21"/>
      <c r="E10" s="21"/>
      <c r="F10" s="21"/>
    </row>
    <row r="11" ht="11.25" customHeight="1">
      <c r="A11" s="27"/>
      <c r="B11" s="28"/>
      <c r="C11" s="18"/>
      <c r="D11" s="21"/>
      <c r="E11" s="21"/>
      <c r="F11" s="21"/>
    </row>
    <row r="12" ht="11.25" customHeight="1">
      <c r="A12" s="14"/>
      <c r="B12" s="28"/>
      <c r="C12" s="29" t="s">
        <v>17</v>
      </c>
      <c r="D12" s="30" t="str">
        <f t="shared" ref="D12:F12" si="1">SUM(D4:D11)</f>
        <v>8,360.00</v>
      </c>
      <c r="E12" s="30" t="str">
        <f t="shared" si="1"/>
        <v>12,688.34</v>
      </c>
      <c r="F12" s="30" t="str">
        <f t="shared" si="1"/>
        <v>12,087.68</v>
      </c>
    </row>
    <row r="13" ht="11.25" customHeight="1">
      <c r="A13" s="18"/>
      <c r="B13" s="28"/>
      <c r="C13" s="18"/>
      <c r="D13" s="21"/>
      <c r="E13" s="21"/>
      <c r="F13" s="21"/>
    </row>
    <row r="14" ht="11.25" customHeight="1">
      <c r="A14" s="8" t="s">
        <v>29</v>
      </c>
      <c r="B14" s="80"/>
      <c r="C14" s="9"/>
      <c r="D14" s="31"/>
      <c r="E14" s="31"/>
      <c r="F14" s="31"/>
    </row>
    <row r="15" ht="11.25" customHeight="1">
      <c r="A15" s="33" t="s">
        <v>19</v>
      </c>
      <c r="B15" s="34"/>
      <c r="C15" s="34"/>
      <c r="D15" s="36" t="s">
        <v>20</v>
      </c>
      <c r="E15" s="36" t="s">
        <v>20</v>
      </c>
      <c r="F15" s="36" t="s">
        <v>20</v>
      </c>
    </row>
    <row r="16" ht="11.25" customHeight="1">
      <c r="A16" s="37" t="s">
        <v>30</v>
      </c>
      <c r="B16" s="29" t="s">
        <v>31</v>
      </c>
      <c r="C16" s="19" t="s">
        <v>124</v>
      </c>
      <c r="D16" s="21"/>
      <c r="E16" s="21"/>
      <c r="F16" s="38"/>
    </row>
    <row r="17" ht="11.25" customHeight="1">
      <c r="A17" s="23"/>
      <c r="B17" s="28"/>
      <c r="C17" s="19" t="s">
        <v>125</v>
      </c>
      <c r="D17" s="26">
        <v>640.0</v>
      </c>
      <c r="E17" s="40">
        <v>647.36</v>
      </c>
      <c r="F17" s="38"/>
    </row>
    <row r="18" ht="11.25" customHeight="1">
      <c r="A18" s="23"/>
      <c r="B18" s="28"/>
      <c r="C18" s="18"/>
      <c r="D18" s="21"/>
      <c r="E18" s="21"/>
      <c r="F18" s="38"/>
    </row>
    <row r="19" ht="11.25" customHeight="1">
      <c r="A19" s="23"/>
      <c r="B19" s="28"/>
      <c r="C19" s="18"/>
      <c r="D19" s="21"/>
      <c r="E19" s="21"/>
      <c r="F19" s="38"/>
    </row>
    <row r="20" ht="11.25" customHeight="1">
      <c r="A20" s="23"/>
      <c r="B20" s="28"/>
      <c r="C20" s="18"/>
      <c r="D20" s="21"/>
      <c r="E20" s="21"/>
      <c r="F20" s="38"/>
    </row>
    <row r="21" ht="11.25" customHeight="1">
      <c r="A21" s="23"/>
      <c r="B21" s="28"/>
      <c r="C21" s="18"/>
      <c r="D21" s="21"/>
      <c r="E21" s="21"/>
      <c r="F21" s="38"/>
    </row>
    <row r="22" ht="11.25" customHeight="1">
      <c r="A22" s="23"/>
      <c r="B22" s="29" t="s">
        <v>34</v>
      </c>
      <c r="C22" s="19" t="s">
        <v>35</v>
      </c>
      <c r="D22" s="26">
        <v>1650.0</v>
      </c>
      <c r="E22" s="26">
        <v>1608.0</v>
      </c>
      <c r="F22" s="40">
        <v>1608.0</v>
      </c>
    </row>
    <row r="23" ht="11.25" customHeight="1">
      <c r="A23" s="23"/>
      <c r="B23" s="28"/>
      <c r="C23" s="19" t="s">
        <v>36</v>
      </c>
      <c r="D23" s="26">
        <v>512.82</v>
      </c>
      <c r="E23" s="40">
        <v>510.21</v>
      </c>
      <c r="F23" s="40">
        <v>495.0</v>
      </c>
    </row>
    <row r="24" ht="11.25" customHeight="1">
      <c r="A24" s="23"/>
      <c r="B24" s="28"/>
      <c r="C24" s="19" t="s">
        <v>37</v>
      </c>
      <c r="D24" s="21"/>
      <c r="E24" s="21"/>
      <c r="F24" s="38"/>
    </row>
    <row r="25" ht="11.25" customHeight="1">
      <c r="A25" s="23"/>
      <c r="B25" s="28"/>
      <c r="C25" s="19" t="s">
        <v>38</v>
      </c>
      <c r="D25" s="21"/>
      <c r="E25" s="21"/>
      <c r="F25" s="38"/>
    </row>
    <row r="26" ht="11.25" customHeight="1">
      <c r="A26" s="23"/>
      <c r="B26" s="28"/>
      <c r="C26" s="19" t="s">
        <v>126</v>
      </c>
      <c r="D26" s="21"/>
      <c r="E26" s="26">
        <v>150.0</v>
      </c>
      <c r="F26" s="40">
        <v>240.0</v>
      </c>
    </row>
    <row r="27" ht="11.25" customHeight="1">
      <c r="A27" s="23"/>
      <c r="B27" s="28"/>
      <c r="C27" s="19" t="s">
        <v>40</v>
      </c>
      <c r="D27" s="21"/>
      <c r="E27" s="21"/>
      <c r="F27" s="38"/>
    </row>
    <row r="28" ht="11.25" customHeight="1">
      <c r="A28" s="23"/>
      <c r="B28" s="28"/>
      <c r="C28" s="18"/>
      <c r="D28" s="21"/>
      <c r="E28" s="21"/>
      <c r="F28" s="38"/>
    </row>
    <row r="29" ht="11.25" customHeight="1">
      <c r="A29" s="23"/>
      <c r="B29" s="29" t="s">
        <v>41</v>
      </c>
      <c r="C29" s="19" t="s">
        <v>42</v>
      </c>
      <c r="D29" s="21"/>
      <c r="E29" s="21"/>
      <c r="F29" s="38"/>
    </row>
    <row r="30" ht="11.25" customHeight="1">
      <c r="A30" s="23"/>
      <c r="B30" s="28"/>
      <c r="C30" s="19" t="s">
        <v>43</v>
      </c>
      <c r="D30" s="21"/>
      <c r="E30" s="21"/>
      <c r="F30" s="38"/>
    </row>
    <row r="31" ht="11.25" customHeight="1">
      <c r="A31" s="23"/>
      <c r="B31" s="28"/>
      <c r="C31" s="19" t="s">
        <v>44</v>
      </c>
      <c r="D31" s="26">
        <v>100.0</v>
      </c>
      <c r="E31" s="26">
        <v>80.0</v>
      </c>
      <c r="F31" s="38"/>
    </row>
    <row r="32" ht="11.25" customHeight="1">
      <c r="A32" s="23"/>
      <c r="B32" s="28"/>
      <c r="C32" s="19" t="s">
        <v>45</v>
      </c>
      <c r="D32" s="21"/>
      <c r="E32" s="21"/>
      <c r="F32" s="38"/>
    </row>
    <row r="33" ht="11.25" customHeight="1">
      <c r="A33" s="23"/>
      <c r="B33" s="28"/>
      <c r="C33" s="19" t="s">
        <v>46</v>
      </c>
      <c r="D33" s="21"/>
      <c r="E33" s="21"/>
      <c r="F33" s="38"/>
    </row>
    <row r="34" ht="11.25" customHeight="1">
      <c r="A34" s="23"/>
      <c r="B34" s="28"/>
      <c r="C34" s="18"/>
      <c r="D34" s="21"/>
      <c r="E34" s="21"/>
      <c r="F34" s="38"/>
    </row>
    <row r="35" ht="11.25" customHeight="1">
      <c r="A35" s="23"/>
      <c r="B35" s="29" t="s">
        <v>47</v>
      </c>
      <c r="C35" s="19" t="s">
        <v>127</v>
      </c>
      <c r="D35" s="21"/>
      <c r="E35" s="21"/>
      <c r="F35" s="38"/>
    </row>
    <row r="36" ht="11.25" customHeight="1">
      <c r="A36" s="23"/>
      <c r="B36" s="28"/>
      <c r="C36" s="19" t="s">
        <v>48</v>
      </c>
      <c r="D36" s="21"/>
      <c r="E36" s="21"/>
      <c r="F36" s="38"/>
    </row>
    <row r="37" ht="11.25" customHeight="1">
      <c r="A37" s="23"/>
      <c r="B37" s="28"/>
      <c r="C37" s="18"/>
      <c r="D37" s="21"/>
      <c r="E37" s="21"/>
      <c r="F37" s="38"/>
    </row>
    <row r="38" ht="11.25" customHeight="1">
      <c r="A38" s="23"/>
      <c r="B38" s="29" t="s">
        <v>50</v>
      </c>
      <c r="C38" s="19" t="s">
        <v>51</v>
      </c>
      <c r="D38" s="21"/>
      <c r="E38" s="21"/>
      <c r="F38" s="38"/>
    </row>
    <row r="39" ht="11.25" customHeight="1">
      <c r="A39" s="23"/>
      <c r="B39" s="28"/>
      <c r="C39" s="19" t="s">
        <v>52</v>
      </c>
      <c r="D39" s="21"/>
      <c r="E39" s="21"/>
      <c r="F39" s="38"/>
    </row>
    <row r="40" ht="11.25" customHeight="1">
      <c r="A40" s="23"/>
      <c r="B40" s="28"/>
      <c r="C40" s="19" t="s">
        <v>53</v>
      </c>
      <c r="D40" s="21"/>
      <c r="E40" s="21"/>
      <c r="F40" s="38"/>
    </row>
    <row r="41" ht="11.25" customHeight="1">
      <c r="A41" s="23"/>
      <c r="B41" s="28"/>
      <c r="C41" s="18"/>
      <c r="D41" s="21"/>
      <c r="E41" s="21"/>
      <c r="F41" s="38"/>
    </row>
    <row r="42" ht="11.25" customHeight="1">
      <c r="A42" s="23"/>
      <c r="B42" s="29" t="s">
        <v>54</v>
      </c>
      <c r="C42" s="19" t="s">
        <v>55</v>
      </c>
      <c r="D42" s="26">
        <v>131.0</v>
      </c>
      <c r="E42" s="26">
        <v>141.26</v>
      </c>
      <c r="F42" s="40">
        <v>138.41</v>
      </c>
    </row>
    <row r="43" ht="11.25" customHeight="1">
      <c r="A43" s="23"/>
      <c r="B43" s="28"/>
      <c r="C43" s="19" t="s">
        <v>56</v>
      </c>
      <c r="D43" s="21"/>
      <c r="E43" s="21"/>
      <c r="F43" s="38"/>
    </row>
    <row r="44" ht="11.25" customHeight="1">
      <c r="A44" s="23"/>
      <c r="B44" s="28"/>
      <c r="C44" s="18"/>
      <c r="D44" s="21"/>
      <c r="E44" s="21"/>
      <c r="F44" s="38"/>
    </row>
    <row r="45" ht="11.25" customHeight="1">
      <c r="A45" s="23"/>
      <c r="B45" s="29" t="s">
        <v>57</v>
      </c>
      <c r="C45" s="19" t="s">
        <v>58</v>
      </c>
      <c r="D45" s="26">
        <v>120.0</v>
      </c>
      <c r="E45" s="83">
        <v>99.12</v>
      </c>
      <c r="F45" s="40">
        <v>99.12</v>
      </c>
    </row>
    <row r="46" ht="11.25" customHeight="1">
      <c r="A46" s="23"/>
      <c r="B46" s="28"/>
      <c r="C46" s="19" t="s">
        <v>59</v>
      </c>
      <c r="D46" s="40">
        <v>100.0</v>
      </c>
      <c r="E46" s="84">
        <v>93.0</v>
      </c>
      <c r="F46" s="84">
        <v>147.0</v>
      </c>
    </row>
    <row r="47" ht="11.25" customHeight="1">
      <c r="A47" s="27"/>
      <c r="B47" s="28"/>
      <c r="C47" s="18"/>
      <c r="D47" s="21"/>
      <c r="E47" s="21"/>
      <c r="F47" s="21"/>
    </row>
    <row r="48" ht="11.25" customHeight="1">
      <c r="A48" s="41"/>
      <c r="B48" s="28"/>
      <c r="C48" s="29" t="s">
        <v>17</v>
      </c>
      <c r="D48" s="30" t="str">
        <f t="shared" ref="D48:F48" si="2">SUM(D16:D47)</f>
        <v>3,253.82</v>
      </c>
      <c r="E48" s="30" t="str">
        <f t="shared" si="2"/>
        <v>3,328.95</v>
      </c>
      <c r="F48" s="30" t="str">
        <f t="shared" si="2"/>
        <v>2,727.53</v>
      </c>
    </row>
    <row r="49" ht="11.25" customHeight="1">
      <c r="A49" s="41"/>
      <c r="B49" s="28"/>
      <c r="C49" s="29" t="s">
        <v>60</v>
      </c>
      <c r="D49" s="85" t="str">
        <f t="shared" ref="D49:F49" si="3">D48*100/D12</f>
        <v>39</v>
      </c>
      <c r="E49" s="85" t="str">
        <f t="shared" si="3"/>
        <v>26</v>
      </c>
      <c r="F49" s="85" t="str">
        <f t="shared" si="3"/>
        <v>23</v>
      </c>
    </row>
    <row r="50" ht="11.25" customHeight="1">
      <c r="A50" s="18"/>
      <c r="B50" s="28"/>
      <c r="C50" s="18"/>
      <c r="D50" s="21"/>
      <c r="E50" s="21"/>
      <c r="F50" s="21"/>
    </row>
    <row r="51" ht="11.25" customHeight="1">
      <c r="A51" s="44" t="s">
        <v>61</v>
      </c>
      <c r="B51" s="45"/>
      <c r="C51" s="45"/>
      <c r="D51" s="47"/>
      <c r="E51" s="47"/>
      <c r="F51" s="47"/>
    </row>
    <row r="52" ht="11.25" customHeight="1">
      <c r="A52" s="48" t="s">
        <v>62</v>
      </c>
      <c r="B52" s="29" t="s">
        <v>128</v>
      </c>
      <c r="C52" s="19" t="s">
        <v>64</v>
      </c>
      <c r="D52" s="26">
        <v>1300.0</v>
      </c>
      <c r="E52" s="26">
        <v>1543.67</v>
      </c>
      <c r="F52" s="40">
        <v>1400.91</v>
      </c>
    </row>
    <row r="53" ht="11.25" customHeight="1">
      <c r="A53" s="23"/>
      <c r="B53" s="28"/>
      <c r="C53" s="18"/>
      <c r="D53" s="21"/>
      <c r="E53" s="21"/>
      <c r="F53" s="38"/>
    </row>
    <row r="54" ht="11.25" customHeight="1">
      <c r="A54" s="23"/>
      <c r="B54" s="29" t="s">
        <v>34</v>
      </c>
      <c r="C54" s="19" t="s">
        <v>65</v>
      </c>
      <c r="D54" s="26">
        <v>18.0</v>
      </c>
      <c r="E54" s="26">
        <v>18.0</v>
      </c>
      <c r="F54" s="40">
        <v>108.52</v>
      </c>
    </row>
    <row r="55" ht="11.25" customHeight="1">
      <c r="A55" s="23"/>
      <c r="B55" s="28"/>
      <c r="C55" s="19" t="s">
        <v>66</v>
      </c>
      <c r="D55" s="21"/>
      <c r="E55" s="21"/>
      <c r="F55" s="38"/>
    </row>
    <row r="56" ht="11.25" customHeight="1">
      <c r="A56" s="23"/>
      <c r="B56" s="28"/>
      <c r="C56" s="19" t="s">
        <v>67</v>
      </c>
      <c r="D56" s="21"/>
      <c r="E56" s="21"/>
      <c r="F56" s="38"/>
    </row>
    <row r="57" ht="11.25" customHeight="1">
      <c r="A57" s="23"/>
      <c r="B57" s="28"/>
      <c r="C57" s="19" t="s">
        <v>68</v>
      </c>
      <c r="D57" s="21"/>
      <c r="E57" s="21"/>
      <c r="F57" s="38"/>
    </row>
    <row r="58" ht="11.25" customHeight="1">
      <c r="A58" s="23"/>
      <c r="B58" s="28"/>
      <c r="C58" s="19" t="s">
        <v>69</v>
      </c>
      <c r="D58" s="21"/>
      <c r="E58" s="21"/>
      <c r="F58" s="38"/>
    </row>
    <row r="59" ht="11.25" customHeight="1">
      <c r="A59" s="23"/>
      <c r="B59" s="28"/>
      <c r="C59" s="19" t="s">
        <v>70</v>
      </c>
      <c r="D59" s="21"/>
      <c r="E59" s="21"/>
      <c r="F59" s="38"/>
    </row>
    <row r="60" ht="11.25" customHeight="1">
      <c r="A60" s="23"/>
      <c r="B60" s="28"/>
      <c r="C60" s="19" t="s">
        <v>71</v>
      </c>
      <c r="D60" s="21"/>
      <c r="E60" s="26">
        <v>19.32</v>
      </c>
      <c r="F60" s="40">
        <v>78.92</v>
      </c>
    </row>
    <row r="61" ht="11.25" customHeight="1">
      <c r="A61" s="23"/>
      <c r="B61" s="28"/>
      <c r="C61" s="18"/>
      <c r="D61" s="21"/>
      <c r="E61" s="21"/>
      <c r="F61" s="38"/>
    </row>
    <row r="62" ht="11.25" customHeight="1">
      <c r="A62" s="23"/>
      <c r="B62" s="29" t="s">
        <v>41</v>
      </c>
      <c r="C62" s="19" t="s">
        <v>129</v>
      </c>
      <c r="D62" s="21"/>
      <c r="E62" s="21"/>
      <c r="F62" s="38"/>
    </row>
    <row r="63" ht="11.25" customHeight="1">
      <c r="A63" s="23"/>
      <c r="B63" s="28"/>
      <c r="C63" s="19" t="s">
        <v>73</v>
      </c>
      <c r="D63" s="21"/>
      <c r="E63" s="21"/>
      <c r="F63" s="38"/>
    </row>
    <row r="64" ht="11.25" customHeight="1">
      <c r="A64" s="23"/>
      <c r="B64" s="28"/>
      <c r="C64" s="19" t="s">
        <v>130</v>
      </c>
      <c r="D64" s="26">
        <v>250.0</v>
      </c>
      <c r="E64" s="26">
        <v>250.0</v>
      </c>
      <c r="F64" s="38" t="str">
        <f>130+130</f>
        <v>260.00</v>
      </c>
    </row>
    <row r="65" ht="11.25" customHeight="1">
      <c r="A65" s="23"/>
      <c r="B65" s="28"/>
      <c r="C65" s="19" t="s">
        <v>75</v>
      </c>
      <c r="D65" s="26">
        <v>35.0</v>
      </c>
      <c r="E65" s="26">
        <v>20.0</v>
      </c>
      <c r="F65" s="38" t="str">
        <f>10.5+26.25+7+7+7</f>
        <v>57.75</v>
      </c>
    </row>
    <row r="66" ht="11.25" customHeight="1">
      <c r="A66" s="23"/>
      <c r="B66" s="28"/>
      <c r="C66" s="18"/>
      <c r="D66" s="21"/>
      <c r="E66" s="21"/>
      <c r="F66" s="38"/>
    </row>
    <row r="67" ht="11.25" customHeight="1">
      <c r="A67" s="23"/>
      <c r="B67" s="29" t="s">
        <v>76</v>
      </c>
      <c r="C67" s="19" t="s">
        <v>77</v>
      </c>
      <c r="D67" s="26">
        <v>400.0</v>
      </c>
      <c r="E67" s="26">
        <v>640.17</v>
      </c>
      <c r="F67" s="38" t="str">
        <f>+360.31+46</f>
        <v>406.31</v>
      </c>
    </row>
    <row r="68" ht="11.25" customHeight="1">
      <c r="A68" s="23"/>
      <c r="B68" s="28"/>
      <c r="C68" s="19" t="s">
        <v>78</v>
      </c>
      <c r="D68" s="26">
        <v>40.0</v>
      </c>
      <c r="E68" s="26">
        <v>40.0</v>
      </c>
      <c r="F68" s="40">
        <v>40.0</v>
      </c>
    </row>
    <row r="69" ht="11.25" customHeight="1">
      <c r="A69" s="23"/>
      <c r="B69" s="28"/>
      <c r="C69" s="19" t="s">
        <v>79</v>
      </c>
      <c r="D69" s="26">
        <v>30.0</v>
      </c>
      <c r="E69" s="26">
        <v>30.0</v>
      </c>
      <c r="F69" s="40">
        <v>30.0</v>
      </c>
    </row>
    <row r="70" ht="11.25" customHeight="1">
      <c r="A70" s="23"/>
      <c r="B70" s="28"/>
      <c r="C70" s="19" t="s">
        <v>80</v>
      </c>
      <c r="D70" s="26">
        <v>200.0</v>
      </c>
      <c r="E70" s="26">
        <v>50.0</v>
      </c>
      <c r="F70" s="38" t="str">
        <f>41.09+21.58+39+23.85+15+50</f>
        <v>190.52</v>
      </c>
    </row>
    <row r="71" ht="11.25" customHeight="1">
      <c r="A71" s="23"/>
      <c r="B71" s="28"/>
      <c r="C71" s="18"/>
      <c r="D71" s="21"/>
      <c r="E71" s="21"/>
      <c r="F71" s="38"/>
    </row>
    <row r="72" ht="11.25" customHeight="1">
      <c r="A72" s="23"/>
      <c r="B72" s="29" t="s">
        <v>47</v>
      </c>
      <c r="C72" s="19" t="s">
        <v>81</v>
      </c>
      <c r="D72" s="26">
        <v>50.0</v>
      </c>
      <c r="E72" s="26">
        <v>50.0</v>
      </c>
      <c r="F72" s="38" t="str">
        <f>82.23+10</f>
        <v>92.23</v>
      </c>
    </row>
    <row r="73" ht="11.25" customHeight="1">
      <c r="A73" s="23"/>
      <c r="B73" s="28"/>
      <c r="C73" s="19" t="s">
        <v>82</v>
      </c>
      <c r="D73" s="26">
        <v>250.0</v>
      </c>
      <c r="E73" s="26">
        <v>477.0</v>
      </c>
      <c r="F73" s="40">
        <v>477.0</v>
      </c>
    </row>
    <row r="74" ht="11.25" customHeight="1">
      <c r="A74" s="23"/>
      <c r="B74" s="28"/>
      <c r="C74" s="18"/>
      <c r="D74" s="21"/>
      <c r="E74" s="21"/>
      <c r="F74" s="38"/>
    </row>
    <row r="75" ht="11.25" customHeight="1">
      <c r="A75" s="23"/>
      <c r="B75" s="29" t="s">
        <v>131</v>
      </c>
      <c r="C75" s="19" t="s">
        <v>84</v>
      </c>
      <c r="D75" s="26">
        <v>280.0</v>
      </c>
      <c r="E75" s="26">
        <v>280.0</v>
      </c>
      <c r="F75" s="38" t="str">
        <f>320</f>
        <v>320.00</v>
      </c>
    </row>
    <row r="76" ht="11.25" customHeight="1">
      <c r="A76" s="23"/>
      <c r="B76" s="28"/>
      <c r="C76" s="19" t="s">
        <v>85</v>
      </c>
      <c r="D76" s="21"/>
      <c r="E76" s="21"/>
      <c r="F76" s="38"/>
    </row>
    <row r="77" ht="11.25" customHeight="1">
      <c r="A77" s="23"/>
      <c r="B77" s="28"/>
      <c r="C77" s="19" t="s">
        <v>86</v>
      </c>
      <c r="D77" s="21"/>
      <c r="E77" s="21"/>
      <c r="F77" s="38"/>
    </row>
    <row r="78" ht="11.25" customHeight="1">
      <c r="A78" s="23"/>
      <c r="B78" s="28"/>
      <c r="C78" s="19" t="s">
        <v>87</v>
      </c>
      <c r="D78" s="21"/>
      <c r="E78" s="21"/>
      <c r="F78" s="38"/>
    </row>
    <row r="79" ht="11.25" customHeight="1">
      <c r="A79" s="23"/>
      <c r="B79" s="28"/>
      <c r="C79" s="18"/>
      <c r="D79" s="21"/>
      <c r="E79" s="21"/>
      <c r="F79" s="21"/>
    </row>
    <row r="80" ht="11.25" customHeight="1">
      <c r="A80" s="27"/>
      <c r="B80" s="28"/>
      <c r="C80" s="18"/>
      <c r="D80" s="21"/>
      <c r="E80" s="21"/>
      <c r="F80" s="21"/>
    </row>
    <row r="81" ht="11.25" customHeight="1">
      <c r="A81" s="45"/>
      <c r="B81" s="28"/>
      <c r="C81" s="29" t="s">
        <v>17</v>
      </c>
      <c r="D81" s="30" t="str">
        <f t="shared" ref="D81:F81" si="4">SUM(D52:D80)</f>
        <v>2,853.00</v>
      </c>
      <c r="E81" s="30" t="str">
        <f t="shared" si="4"/>
        <v>3,418.16</v>
      </c>
      <c r="F81" s="30" t="str">
        <f t="shared" si="4"/>
        <v>3,462.16</v>
      </c>
    </row>
    <row r="82" ht="11.25" customHeight="1">
      <c r="A82" s="45"/>
      <c r="B82" s="28"/>
      <c r="C82" s="29" t="s">
        <v>60</v>
      </c>
      <c r="D82" s="85" t="str">
        <f t="shared" ref="D82:F82" si="5">D81*100/D12</f>
        <v>34</v>
      </c>
      <c r="E82" s="85" t="str">
        <f t="shared" si="5"/>
        <v>27</v>
      </c>
      <c r="F82" s="85" t="str">
        <f t="shared" si="5"/>
        <v>29</v>
      </c>
    </row>
    <row r="83" ht="11.25" customHeight="1">
      <c r="A83" s="18"/>
      <c r="B83" s="28"/>
      <c r="C83" s="18"/>
      <c r="D83" s="21"/>
      <c r="E83" s="21"/>
      <c r="F83" s="21"/>
    </row>
    <row r="84" ht="11.25" customHeight="1">
      <c r="A84" s="49" t="s">
        <v>88</v>
      </c>
      <c r="B84" s="50"/>
      <c r="C84" s="50"/>
      <c r="D84" s="52"/>
      <c r="E84" s="52"/>
      <c r="F84" s="52"/>
    </row>
    <row r="85" ht="11.25" customHeight="1">
      <c r="A85" s="53" t="s">
        <v>89</v>
      </c>
      <c r="B85" s="29" t="s">
        <v>47</v>
      </c>
      <c r="C85" s="19" t="s">
        <v>90</v>
      </c>
      <c r="D85" s="21"/>
      <c r="E85" s="21"/>
      <c r="F85" s="21"/>
    </row>
    <row r="86" ht="11.25" customHeight="1">
      <c r="A86" s="23"/>
      <c r="B86" s="28"/>
      <c r="C86" s="19" t="s">
        <v>91</v>
      </c>
      <c r="D86" s="21"/>
      <c r="E86" s="21"/>
      <c r="F86" s="21"/>
    </row>
    <row r="87" ht="11.25" customHeight="1">
      <c r="A87" s="23"/>
      <c r="B87" s="28"/>
      <c r="C87" s="19" t="s">
        <v>92</v>
      </c>
      <c r="D87" s="21"/>
      <c r="E87" s="21"/>
      <c r="F87" s="21"/>
    </row>
    <row r="88" ht="11.25" customHeight="1">
      <c r="A88" s="23"/>
      <c r="B88" s="28"/>
      <c r="C88" s="18"/>
      <c r="D88" s="21"/>
      <c r="E88" s="21"/>
      <c r="F88" s="38"/>
    </row>
    <row r="89" ht="11.25" customHeight="1">
      <c r="A89" s="23"/>
      <c r="B89" s="29" t="s">
        <v>132</v>
      </c>
      <c r="C89" s="19" t="s">
        <v>94</v>
      </c>
      <c r="D89" s="21"/>
      <c r="E89" s="21"/>
      <c r="F89" s="38"/>
    </row>
    <row r="90" ht="11.25" customHeight="1">
      <c r="A90" s="23"/>
      <c r="B90" s="28"/>
      <c r="C90" s="19" t="s">
        <v>95</v>
      </c>
      <c r="D90" s="21"/>
      <c r="E90" s="40">
        <v>1584.47</v>
      </c>
      <c r="F90" s="38" t="str">
        <f>502+26.5+26.65+262+237.38</f>
        <v>1,054.53</v>
      </c>
    </row>
    <row r="91" ht="11.25" customHeight="1">
      <c r="A91" s="23"/>
      <c r="B91" s="28"/>
      <c r="C91" s="18"/>
      <c r="D91" s="21"/>
      <c r="E91" s="21"/>
      <c r="F91" s="38"/>
    </row>
    <row r="92" ht="11.25" customHeight="1">
      <c r="A92" s="23"/>
      <c r="B92" s="29" t="s">
        <v>50</v>
      </c>
      <c r="C92" s="19" t="s">
        <v>96</v>
      </c>
      <c r="D92" s="21"/>
      <c r="E92" s="21"/>
      <c r="F92" s="38"/>
    </row>
    <row r="93" ht="11.25" customHeight="1">
      <c r="A93" s="23"/>
      <c r="B93" s="28"/>
      <c r="C93" s="19" t="s">
        <v>97</v>
      </c>
      <c r="D93" s="21"/>
      <c r="E93" s="21"/>
      <c r="F93" s="38"/>
    </row>
    <row r="94" ht="11.25" customHeight="1">
      <c r="A94" s="27"/>
      <c r="B94" s="28"/>
      <c r="C94" s="18"/>
      <c r="D94" s="21"/>
      <c r="E94" s="21"/>
      <c r="F94" s="21"/>
    </row>
    <row r="95" ht="11.25" customHeight="1">
      <c r="A95" s="50"/>
      <c r="B95" s="28"/>
      <c r="C95" s="29" t="s">
        <v>17</v>
      </c>
      <c r="D95" s="30" t="str">
        <f t="shared" ref="D95:F95" si="6">SUM(D85:D94)</f>
        <v>0.00</v>
      </c>
      <c r="E95" s="30" t="str">
        <f t="shared" si="6"/>
        <v>1,584.47</v>
      </c>
      <c r="F95" s="30" t="str">
        <f t="shared" si="6"/>
        <v>1,054.53</v>
      </c>
    </row>
    <row r="96" ht="11.25" customHeight="1">
      <c r="A96" s="50"/>
      <c r="B96" s="28"/>
      <c r="C96" s="29" t="s">
        <v>60</v>
      </c>
      <c r="D96" s="86" t="str">
        <f t="shared" ref="D96:F96" si="7">D95*100/D12</f>
        <v>0%</v>
      </c>
      <c r="E96" s="86" t="str">
        <f t="shared" si="7"/>
        <v>1,249%</v>
      </c>
      <c r="F96" s="86" t="str">
        <f t="shared" si="7"/>
        <v>872%</v>
      </c>
    </row>
    <row r="97" ht="11.25" customHeight="1">
      <c r="A97" s="18"/>
      <c r="B97" s="28"/>
      <c r="C97" s="18"/>
      <c r="D97" s="21"/>
      <c r="E97" s="21"/>
      <c r="F97" s="21"/>
    </row>
    <row r="98" ht="11.25" customHeight="1">
      <c r="A98" s="55" t="s">
        <v>98</v>
      </c>
      <c r="B98" s="56"/>
      <c r="C98" s="56"/>
      <c r="D98" s="58"/>
      <c r="E98" s="58"/>
      <c r="F98" s="58"/>
    </row>
    <row r="99" ht="11.25" customHeight="1">
      <c r="A99" s="59" t="s">
        <v>99</v>
      </c>
      <c r="B99" s="29" t="s">
        <v>100</v>
      </c>
      <c r="C99" s="19" t="s">
        <v>101</v>
      </c>
      <c r="D99" s="21"/>
      <c r="E99" s="21"/>
      <c r="F99" s="21"/>
    </row>
    <row r="100" ht="11.25" customHeight="1">
      <c r="A100" s="23"/>
      <c r="B100" s="28"/>
      <c r="C100" s="19" t="s">
        <v>102</v>
      </c>
      <c r="D100" s="26">
        <v>50.0</v>
      </c>
      <c r="E100" s="26">
        <v>50.0</v>
      </c>
      <c r="F100" s="38"/>
    </row>
    <row r="101" ht="11.25" customHeight="1">
      <c r="A101" s="23"/>
      <c r="B101" s="28"/>
      <c r="C101" s="19" t="s">
        <v>103</v>
      </c>
      <c r="D101" s="26">
        <v>250.0</v>
      </c>
      <c r="E101" s="26">
        <v>200.0</v>
      </c>
      <c r="F101" s="38" t="str">
        <f>42.8+71.8+97.9+20+260.15+206+26.1+95.5+113.22+40.5+47.5+18+9.5+82.96</f>
        <v>1,131.93</v>
      </c>
    </row>
    <row r="102" ht="11.25" customHeight="1">
      <c r="A102" s="23"/>
      <c r="B102" s="28"/>
      <c r="C102" s="19" t="s">
        <v>104</v>
      </c>
      <c r="D102" s="21"/>
      <c r="E102" s="21"/>
      <c r="F102" s="38"/>
    </row>
    <row r="103" ht="11.25" customHeight="1">
      <c r="A103" s="23"/>
      <c r="B103" s="28"/>
      <c r="C103" s="18"/>
      <c r="D103" s="21"/>
      <c r="E103" s="21"/>
      <c r="F103" s="38"/>
    </row>
    <row r="104" ht="11.25" customHeight="1">
      <c r="A104" s="23"/>
      <c r="B104" s="29" t="s">
        <v>50</v>
      </c>
      <c r="C104" s="19" t="s">
        <v>133</v>
      </c>
      <c r="D104" s="21"/>
      <c r="E104" s="21"/>
      <c r="F104" s="38"/>
    </row>
    <row r="105" ht="11.25" customHeight="1">
      <c r="A105" s="23"/>
      <c r="B105" s="28"/>
      <c r="C105" s="18"/>
      <c r="D105" s="21"/>
      <c r="E105" s="21"/>
      <c r="F105" s="38"/>
    </row>
    <row r="106" ht="11.25" customHeight="1">
      <c r="A106" s="23"/>
      <c r="B106" s="29" t="s">
        <v>106</v>
      </c>
      <c r="C106" s="19" t="s">
        <v>107</v>
      </c>
      <c r="D106" s="26">
        <v>200.0</v>
      </c>
      <c r="E106" s="21"/>
      <c r="F106" s="38" t="str">
        <f>30+85+110+105</f>
        <v>330.00</v>
      </c>
    </row>
    <row r="107" ht="11.25" customHeight="1">
      <c r="A107" s="23"/>
      <c r="B107" s="28"/>
      <c r="C107" s="19" t="s">
        <v>108</v>
      </c>
      <c r="D107" s="21"/>
      <c r="E107" s="21"/>
      <c r="F107" s="38"/>
    </row>
    <row r="108" ht="11.25" customHeight="1">
      <c r="A108" s="23"/>
      <c r="B108" s="28"/>
      <c r="C108" s="19" t="s">
        <v>109</v>
      </c>
      <c r="D108" s="21"/>
      <c r="E108" s="21"/>
      <c r="F108" s="38"/>
    </row>
    <row r="109" ht="11.25" customHeight="1">
      <c r="A109" s="23"/>
      <c r="B109" s="28"/>
      <c r="C109" s="18"/>
      <c r="D109" s="21"/>
      <c r="E109" s="21"/>
      <c r="F109" s="38"/>
    </row>
    <row r="110" ht="11.25" customHeight="1">
      <c r="A110" s="23"/>
      <c r="B110" s="29" t="s">
        <v>57</v>
      </c>
      <c r="C110" s="19" t="s">
        <v>26</v>
      </c>
      <c r="D110" s="26">
        <v>120.0</v>
      </c>
      <c r="E110" s="26">
        <v>70.0</v>
      </c>
      <c r="F110" s="38" t="str">
        <f>348+20+298+199+49.9+199.8+94+29.9+329</f>
        <v>1,567.60</v>
      </c>
    </row>
    <row r="111" ht="11.25" customHeight="1">
      <c r="A111" s="23"/>
      <c r="B111" s="28"/>
      <c r="C111" s="19" t="s">
        <v>57</v>
      </c>
      <c r="D111" s="26">
        <v>900.0</v>
      </c>
      <c r="E111" s="26">
        <v>1392.9</v>
      </c>
      <c r="F111" s="38" t="str">
        <f>627.03+200</f>
        <v>827.03</v>
      </c>
    </row>
    <row r="112" ht="11.25" customHeight="1">
      <c r="A112" s="27"/>
      <c r="B112" s="28"/>
      <c r="C112" s="18"/>
      <c r="D112" s="21"/>
      <c r="E112" s="21"/>
      <c r="F112" s="21"/>
    </row>
    <row r="113" ht="11.25" customHeight="1">
      <c r="A113" s="56"/>
      <c r="B113" s="28"/>
      <c r="C113" s="29" t="s">
        <v>17</v>
      </c>
      <c r="D113" s="30" t="str">
        <f t="shared" ref="D113:F113" si="8">SUM(D99:D112)</f>
        <v>1,520.00</v>
      </c>
      <c r="E113" s="30" t="str">
        <f t="shared" si="8"/>
        <v>1,712.90</v>
      </c>
      <c r="F113" s="30" t="str">
        <f t="shared" si="8"/>
        <v>3,856.56</v>
      </c>
    </row>
    <row r="114" ht="11.25" customHeight="1">
      <c r="A114" s="56"/>
      <c r="B114" s="28"/>
      <c r="C114" s="29" t="s">
        <v>60</v>
      </c>
      <c r="D114" s="85" t="str">
        <f t="shared" ref="D114:F114" si="9">D113*100/D12</f>
        <v>18</v>
      </c>
      <c r="E114" s="85" t="str">
        <f t="shared" si="9"/>
        <v>13</v>
      </c>
      <c r="F114" s="85" t="str">
        <f t="shared" si="9"/>
        <v>32</v>
      </c>
    </row>
    <row r="115" ht="11.25" customHeight="1">
      <c r="A115" s="18"/>
      <c r="B115" s="28"/>
      <c r="C115" s="18"/>
      <c r="D115" s="21"/>
      <c r="E115" s="21"/>
      <c r="F115" s="21"/>
    </row>
    <row r="116" ht="12.0" customHeight="1">
      <c r="A116" s="18"/>
      <c r="B116" s="28"/>
      <c r="C116" s="18"/>
      <c r="D116" s="21"/>
      <c r="E116" s="21"/>
      <c r="F116" s="21"/>
    </row>
    <row r="117" ht="12.0" customHeight="1">
      <c r="A117" s="8" t="s">
        <v>110</v>
      </c>
      <c r="B117" s="87"/>
      <c r="C117" s="60"/>
      <c r="D117" s="62"/>
      <c r="E117" s="62"/>
      <c r="F117" s="62"/>
    </row>
    <row r="118" ht="13.5" customHeight="1">
      <c r="A118" s="29" t="s">
        <v>111</v>
      </c>
      <c r="B118" s="64"/>
      <c r="C118" s="65" t="s">
        <v>18</v>
      </c>
      <c r="D118" s="66" t="str">
        <f t="shared" ref="D118:F118" si="10">D12</f>
        <v>8,360.00</v>
      </c>
      <c r="E118" s="66" t="str">
        <f t="shared" si="10"/>
        <v>12,688.34</v>
      </c>
      <c r="F118" s="66" t="str">
        <f t="shared" si="10"/>
        <v>12,087.68</v>
      </c>
    </row>
    <row r="119" ht="12.0" customHeight="1">
      <c r="A119" s="68" t="s">
        <v>112</v>
      </c>
      <c r="B119" s="64"/>
      <c r="C119" s="70" t="s">
        <v>113</v>
      </c>
      <c r="D119" s="71" t="str">
        <f t="shared" ref="D119:F119" si="11">D48</f>
        <v>3,253.82</v>
      </c>
      <c r="E119" s="71" t="str">
        <f t="shared" si="11"/>
        <v>3,328.95</v>
      </c>
      <c r="F119" s="71" t="str">
        <f t="shared" si="11"/>
        <v>2,727.53</v>
      </c>
    </row>
    <row r="120" ht="12.0" customHeight="1">
      <c r="A120" s="23"/>
      <c r="B120" s="64"/>
      <c r="C120" s="70" t="s">
        <v>114</v>
      </c>
      <c r="D120" s="71" t="str">
        <f t="shared" ref="D120:F120" si="12">D81</f>
        <v>2,853.00</v>
      </c>
      <c r="E120" s="71" t="str">
        <f t="shared" si="12"/>
        <v>3,418.16</v>
      </c>
      <c r="F120" s="71" t="str">
        <f t="shared" si="12"/>
        <v>3,462.16</v>
      </c>
    </row>
    <row r="121" ht="12.0" customHeight="1">
      <c r="A121" s="23"/>
      <c r="B121" s="64"/>
      <c r="C121" s="70" t="s">
        <v>115</v>
      </c>
      <c r="D121" s="71" t="str">
        <f t="shared" ref="D121:F121" si="13">D95</f>
        <v>0.00</v>
      </c>
      <c r="E121" s="71" t="str">
        <f t="shared" si="13"/>
        <v>1,584.47</v>
      </c>
      <c r="F121" s="71" t="str">
        <f t="shared" si="13"/>
        <v>1,054.53</v>
      </c>
    </row>
    <row r="122" ht="12.0" customHeight="1">
      <c r="A122" s="23"/>
      <c r="B122" s="64"/>
      <c r="C122" s="70" t="s">
        <v>116</v>
      </c>
      <c r="D122" s="71" t="str">
        <f t="shared" ref="D122:F122" si="14">D113</f>
        <v>1,520.00</v>
      </c>
      <c r="E122" s="71" t="str">
        <f t="shared" si="14"/>
        <v>1,712.90</v>
      </c>
      <c r="F122" s="71" t="str">
        <f t="shared" si="14"/>
        <v>3,856.56</v>
      </c>
    </row>
    <row r="123" ht="12.0" customHeight="1">
      <c r="A123" s="23"/>
      <c r="B123" s="64"/>
      <c r="C123" s="69"/>
      <c r="D123" s="71"/>
      <c r="E123" s="71"/>
      <c r="F123" s="71"/>
    </row>
    <row r="124" ht="12.0" customHeight="1">
      <c r="A124" s="23"/>
      <c r="B124" s="64"/>
      <c r="C124" s="70" t="s">
        <v>110</v>
      </c>
      <c r="D124" s="66" t="str">
        <f t="shared" ref="D124:F124" si="15">D118-(SUM(D119:D122))</f>
        <v>733.18</v>
      </c>
      <c r="E124" s="66" t="str">
        <f t="shared" si="15"/>
        <v>2,643.86</v>
      </c>
      <c r="F124" s="66" t="str">
        <f t="shared" si="15"/>
        <v>986.90</v>
      </c>
    </row>
    <row r="125" ht="11.25" customHeight="1">
      <c r="A125" s="23"/>
      <c r="B125" s="28"/>
      <c r="C125" s="19" t="s">
        <v>60</v>
      </c>
      <c r="D125" s="88" t="str">
        <f t="shared" ref="D125:F125" si="16">D124*100/D12</f>
        <v>9</v>
      </c>
      <c r="E125" s="88" t="str">
        <f t="shared" si="16"/>
        <v>21</v>
      </c>
      <c r="F125" s="88" t="str">
        <f t="shared" si="16"/>
        <v>8</v>
      </c>
    </row>
    <row r="126" ht="11.25" customHeight="1">
      <c r="A126" s="23"/>
      <c r="B126" s="28"/>
      <c r="C126" s="18"/>
      <c r="D126" s="74"/>
      <c r="E126" s="74"/>
      <c r="F126" s="74"/>
    </row>
    <row r="127" ht="11.25" customHeight="1">
      <c r="A127" s="23"/>
      <c r="B127" s="28"/>
      <c r="C127" s="19" t="s">
        <v>117</v>
      </c>
      <c r="D127" s="89">
        <v>500.0</v>
      </c>
      <c r="E127" s="89">
        <v>2000.0</v>
      </c>
      <c r="F127" s="89">
        <v>2500.0</v>
      </c>
    </row>
    <row r="128" ht="11.25" customHeight="1">
      <c r="A128" s="23"/>
      <c r="B128" s="28"/>
      <c r="C128" s="19" t="s">
        <v>60</v>
      </c>
      <c r="D128" s="74"/>
      <c r="E128" s="74"/>
      <c r="F128" s="74"/>
    </row>
    <row r="129" ht="11.25" customHeight="1">
      <c r="A129" s="23"/>
      <c r="B129" s="28"/>
      <c r="C129" s="18"/>
      <c r="D129" s="74"/>
      <c r="E129" s="74"/>
      <c r="F129" s="74"/>
    </row>
    <row r="130" ht="11.25" customHeight="1">
      <c r="A130" s="27"/>
      <c r="B130" s="28"/>
      <c r="C130" s="19" t="s">
        <v>118</v>
      </c>
      <c r="D130" s="78"/>
      <c r="E130" s="78"/>
      <c r="F130" s="78"/>
    </row>
    <row r="131" ht="11.25" customHeight="1">
      <c r="A131" s="18"/>
      <c r="B131" s="28"/>
      <c r="C131" s="19" t="s">
        <v>60</v>
      </c>
      <c r="D131" s="74"/>
      <c r="E131" s="74"/>
      <c r="F131" s="74"/>
    </row>
  </sheetData>
  <mergeCells count="6">
    <mergeCell ref="A4:A11"/>
    <mergeCell ref="A16:A47"/>
    <mergeCell ref="A52:A80"/>
    <mergeCell ref="A85:A94"/>
    <mergeCell ref="A99:A112"/>
    <mergeCell ref="A119:A13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13.0"/>
    <col customWidth="1" min="2" max="2" width="14.57"/>
    <col customWidth="1" min="3" max="3" width="18.14"/>
    <col customWidth="1" min="4" max="16" width="8.57"/>
  </cols>
  <sheetData>
    <row r="1" ht="11.25" customHeight="1">
      <c r="A1" s="3" t="s">
        <v>1</v>
      </c>
      <c r="B1" s="3" t="s">
        <v>2</v>
      </c>
      <c r="C1" s="3" t="s">
        <v>3</v>
      </c>
      <c r="D1" s="4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7" t="s">
        <v>17</v>
      </c>
    </row>
    <row r="2" ht="11.25" customHeight="1">
      <c r="A2" s="8" t="s">
        <v>18</v>
      </c>
      <c r="B2" s="9"/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ht="11.25" customHeight="1">
      <c r="A3" s="13" t="s">
        <v>19</v>
      </c>
      <c r="B3" s="14"/>
      <c r="C3" s="14"/>
      <c r="D3" s="16" t="s">
        <v>20</v>
      </c>
      <c r="E3" s="16" t="s">
        <v>20</v>
      </c>
      <c r="F3" s="16" t="s">
        <v>20</v>
      </c>
      <c r="G3" s="16" t="s">
        <v>20</v>
      </c>
      <c r="H3" s="16" t="s">
        <v>20</v>
      </c>
      <c r="I3" s="16" t="s">
        <v>20</v>
      </c>
      <c r="J3" s="16" t="s">
        <v>20</v>
      </c>
      <c r="K3" s="16" t="s">
        <v>20</v>
      </c>
      <c r="L3" s="16" t="s">
        <v>20</v>
      </c>
      <c r="M3" s="16" t="s">
        <v>20</v>
      </c>
      <c r="N3" s="16" t="s">
        <v>20</v>
      </c>
      <c r="O3" s="16" t="s">
        <v>20</v>
      </c>
      <c r="P3" s="16" t="s">
        <v>20</v>
      </c>
    </row>
    <row r="4" ht="11.25" customHeight="1">
      <c r="A4" s="17"/>
      <c r="B4" s="18"/>
      <c r="C4" s="19" t="s">
        <v>21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90" t="str">
        <f t="shared" ref="P4:P11" si="1">SUM(D4:O4)</f>
        <v>0.00</v>
      </c>
    </row>
    <row r="5" ht="11.25" customHeight="1">
      <c r="A5" s="23"/>
      <c r="B5" s="18"/>
      <c r="C5" s="19" t="s">
        <v>120</v>
      </c>
      <c r="D5" s="26">
        <v>6988.34</v>
      </c>
      <c r="E5" s="26">
        <v>7070.22</v>
      </c>
      <c r="F5" s="26">
        <v>7070.22</v>
      </c>
      <c r="G5" s="26">
        <v>7070.22</v>
      </c>
      <c r="H5" s="26">
        <v>7070.22</v>
      </c>
      <c r="I5" s="26">
        <v>7070.86</v>
      </c>
      <c r="J5" s="26">
        <v>7070.22</v>
      </c>
      <c r="K5" s="26">
        <v>7070.22</v>
      </c>
      <c r="L5" s="26">
        <v>5975.76</v>
      </c>
      <c r="M5" s="26">
        <v>5268.54</v>
      </c>
      <c r="N5" s="26">
        <v>5429.82</v>
      </c>
      <c r="O5" s="26">
        <v>7070.0</v>
      </c>
      <c r="P5" s="90" t="str">
        <f t="shared" si="1"/>
        <v>80,224.64</v>
      </c>
    </row>
    <row r="6" ht="11.25" customHeight="1">
      <c r="A6" s="23"/>
      <c r="B6" s="18"/>
      <c r="C6" s="19" t="s">
        <v>121</v>
      </c>
      <c r="D6" s="21" t="str">
        <f>900+120+289+100+150</f>
        <v>1,559.00</v>
      </c>
      <c r="E6" s="26">
        <v>1463.3</v>
      </c>
      <c r="F6" s="21" t="str">
        <f>300+200+118.42+41.22+18.78+10.14+62+120+42+16+50+6+189.06+45+23</f>
        <v>1,241.62</v>
      </c>
      <c r="G6" s="21" t="str">
        <f>300+600+120+200+180+120+(96+20+50+68+10+8.5+60+9.9+54.42+30+60+36.99+68)</f>
        <v>2,091.81</v>
      </c>
      <c r="H6" s="21" t="str">
        <f>200+240+40+57.49+104.7+8+190+57.72+9.62+40.01+8+36.68+8+4+8+2.9+12.5+8+4+237+30.72+23.15+137.55</f>
        <v>1,468.04</v>
      </c>
      <c r="I6" s="21" t="str">
        <f>400+120+9.49+10.86+16.41+15.21+45+13.56+14.22+40+200+12+40+10.5+17.5+19+236+28.46+8+16+87.67</f>
        <v>1,359.88</v>
      </c>
      <c r="J6" s="21" t="str">
        <f>340+213+250+130+150+50+120</f>
        <v>1,253.00</v>
      </c>
      <c r="K6" s="21" t="str">
        <f>100+300+65+8+21+50+500+10.96+8+97.3+15+5+8</f>
        <v>1,188.26</v>
      </c>
      <c r="L6" s="21" t="str">
        <f>120+200+66.8+900</f>
        <v>1,286.80</v>
      </c>
      <c r="M6" s="26">
        <v>1500.0</v>
      </c>
      <c r="N6" s="26">
        <v>1500.0</v>
      </c>
      <c r="O6" s="26">
        <v>1000.0</v>
      </c>
      <c r="P6" s="90" t="str">
        <f t="shared" si="1"/>
        <v>16,911.71</v>
      </c>
    </row>
    <row r="7" ht="11.25" customHeight="1">
      <c r="A7" s="23"/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90" t="str">
        <f t="shared" si="1"/>
        <v>0.00</v>
      </c>
    </row>
    <row r="8" ht="11.25" customHeight="1">
      <c r="A8" s="23"/>
      <c r="B8" s="18"/>
      <c r="C8" s="19" t="s">
        <v>134</v>
      </c>
      <c r="D8" s="21"/>
      <c r="E8" s="21"/>
      <c r="F8" s="21"/>
      <c r="G8" s="21"/>
      <c r="H8" s="21"/>
      <c r="I8" s="21"/>
      <c r="J8" s="21"/>
      <c r="K8" s="21"/>
      <c r="L8" s="21" t="str">
        <f>6761</f>
        <v>6,761.00</v>
      </c>
      <c r="M8" s="21"/>
      <c r="N8" s="21"/>
      <c r="O8" s="21"/>
      <c r="P8" s="90" t="str">
        <f t="shared" si="1"/>
        <v>6,761.00</v>
      </c>
    </row>
    <row r="9" ht="11.25" customHeight="1">
      <c r="A9" s="23"/>
      <c r="B9" s="18"/>
      <c r="C9" s="19" t="s">
        <v>26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90" t="str">
        <f t="shared" si="1"/>
        <v>0.00</v>
      </c>
    </row>
    <row r="10" ht="11.25" customHeight="1">
      <c r="A10" s="23"/>
      <c r="B10" s="18"/>
      <c r="C10" s="19" t="s">
        <v>122</v>
      </c>
      <c r="D10" s="21" t="str">
        <f>175+200</f>
        <v>375.00</v>
      </c>
      <c r="E10" s="21"/>
      <c r="F10" s="21"/>
      <c r="G10" s="21"/>
      <c r="H10" s="21"/>
      <c r="I10" s="26">
        <v>387.0</v>
      </c>
      <c r="J10" s="21"/>
      <c r="K10" s="21" t="str">
        <f>620/2</f>
        <v>310.00</v>
      </c>
      <c r="L10" s="21" t="str">
        <f>1097.32/2</f>
        <v>548.66</v>
      </c>
      <c r="M10" s="21" t="str">
        <f>825/2</f>
        <v>412.50</v>
      </c>
      <c r="N10" s="21" t="str">
        <f>904/2</f>
        <v>452.00</v>
      </c>
      <c r="O10" s="21"/>
      <c r="P10" s="90" t="str">
        <f t="shared" si="1"/>
        <v>2,485.16</v>
      </c>
    </row>
    <row r="11" ht="11.25" customHeight="1">
      <c r="A11" s="27"/>
      <c r="B11" s="18"/>
      <c r="C11" s="18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90" t="str">
        <f t="shared" si="1"/>
        <v>0.00</v>
      </c>
    </row>
    <row r="12" ht="11.25" customHeight="1">
      <c r="A12" s="14"/>
      <c r="B12" s="28"/>
      <c r="C12" s="29" t="s">
        <v>17</v>
      </c>
      <c r="D12" s="30" t="str">
        <f t="shared" ref="D12:P12" si="2">SUM(D4:D11)</f>
        <v>8,922.34</v>
      </c>
      <c r="E12" s="30" t="str">
        <f t="shared" si="2"/>
        <v>8,533.52</v>
      </c>
      <c r="F12" s="30" t="str">
        <f t="shared" si="2"/>
        <v>8,311.84</v>
      </c>
      <c r="G12" s="30" t="str">
        <f t="shared" si="2"/>
        <v>9,162.03</v>
      </c>
      <c r="H12" s="30" t="str">
        <f t="shared" si="2"/>
        <v>8,538.26</v>
      </c>
      <c r="I12" s="30" t="str">
        <f t="shared" si="2"/>
        <v>8,817.74</v>
      </c>
      <c r="J12" s="30" t="str">
        <f t="shared" si="2"/>
        <v>8,323.22</v>
      </c>
      <c r="K12" s="30" t="str">
        <f t="shared" si="2"/>
        <v>8,568.48</v>
      </c>
      <c r="L12" s="30" t="str">
        <f t="shared" si="2"/>
        <v>14,572.22</v>
      </c>
      <c r="M12" s="30" t="str">
        <f t="shared" si="2"/>
        <v>7,181.04</v>
      </c>
      <c r="N12" s="30" t="str">
        <f t="shared" si="2"/>
        <v>7,381.82</v>
      </c>
      <c r="O12" s="30" t="str">
        <f t="shared" si="2"/>
        <v>8,070.00</v>
      </c>
      <c r="P12" s="90" t="str">
        <f t="shared" si="2"/>
        <v>106,382.51</v>
      </c>
    </row>
    <row r="13" ht="11.25" customHeight="1">
      <c r="A13" s="91"/>
      <c r="B13" s="18"/>
      <c r="C13" s="18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90"/>
    </row>
    <row r="14" ht="11.25" customHeight="1">
      <c r="A14" s="91"/>
      <c r="B14" s="18"/>
      <c r="C14" s="18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90"/>
    </row>
    <row r="15" ht="11.25" customHeight="1">
      <c r="A15" s="91"/>
      <c r="B15" s="18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90"/>
    </row>
    <row r="16" ht="11.25" customHeight="1">
      <c r="A16" s="18"/>
      <c r="B16" s="18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90"/>
    </row>
    <row r="17" ht="11.25" customHeight="1">
      <c r="A17" s="8" t="s">
        <v>29</v>
      </c>
      <c r="B17" s="9"/>
      <c r="C17" s="9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ht="11.25" customHeight="1">
      <c r="A18" s="33" t="s">
        <v>19</v>
      </c>
      <c r="B18" s="34"/>
      <c r="C18" s="34"/>
      <c r="D18" s="36" t="s">
        <v>20</v>
      </c>
      <c r="E18" s="36" t="s">
        <v>20</v>
      </c>
      <c r="F18" s="36" t="s">
        <v>20</v>
      </c>
      <c r="G18" s="36" t="s">
        <v>20</v>
      </c>
      <c r="H18" s="36" t="s">
        <v>20</v>
      </c>
      <c r="I18" s="36" t="s">
        <v>20</v>
      </c>
      <c r="J18" s="36" t="s">
        <v>20</v>
      </c>
      <c r="K18" s="36" t="s">
        <v>20</v>
      </c>
      <c r="L18" s="36" t="s">
        <v>20</v>
      </c>
      <c r="M18" s="36" t="s">
        <v>20</v>
      </c>
      <c r="N18" s="36" t="s">
        <v>20</v>
      </c>
      <c r="O18" s="36" t="s">
        <v>20</v>
      </c>
      <c r="P18" s="36" t="s">
        <v>20</v>
      </c>
    </row>
    <row r="19" ht="11.25" customHeight="1">
      <c r="A19" s="37" t="s">
        <v>30</v>
      </c>
      <c r="B19" s="19" t="s">
        <v>31</v>
      </c>
      <c r="C19" s="19" t="s">
        <v>124</v>
      </c>
      <c r="D19" s="38"/>
      <c r="E19" s="21"/>
      <c r="F19" s="21"/>
      <c r="G19" s="21"/>
      <c r="H19" s="21"/>
      <c r="I19" s="21"/>
      <c r="J19" s="38"/>
      <c r="K19" s="38"/>
      <c r="L19" s="38"/>
      <c r="M19" s="38"/>
      <c r="N19" s="38"/>
      <c r="O19" s="38"/>
      <c r="P19" s="90" t="str">
        <f t="shared" ref="P19:P49" si="3">SUM(D19:O19)</f>
        <v>0.00</v>
      </c>
    </row>
    <row r="20" ht="11.25" customHeight="1">
      <c r="A20" s="23"/>
      <c r="B20" s="18"/>
      <c r="C20" s="19" t="s">
        <v>125</v>
      </c>
      <c r="D20" s="38"/>
      <c r="E20" s="21"/>
      <c r="F20" s="21"/>
      <c r="G20" s="21"/>
      <c r="H20" s="21"/>
      <c r="I20" s="21"/>
      <c r="J20" s="38"/>
      <c r="K20" s="38"/>
      <c r="L20" s="38"/>
      <c r="M20" s="38"/>
      <c r="N20" s="38"/>
      <c r="O20" s="38"/>
      <c r="P20" s="90" t="str">
        <f t="shared" si="3"/>
        <v>0.00</v>
      </c>
    </row>
    <row r="21" ht="11.25" customHeight="1">
      <c r="A21" s="23"/>
      <c r="B21" s="18"/>
      <c r="C21" s="18"/>
      <c r="D21" s="38"/>
      <c r="E21" s="21"/>
      <c r="F21" s="21"/>
      <c r="G21" s="21"/>
      <c r="H21" s="21"/>
      <c r="I21" s="21"/>
      <c r="J21" s="38"/>
      <c r="K21" s="38"/>
      <c r="L21" s="38"/>
      <c r="M21" s="38"/>
      <c r="N21" s="38"/>
      <c r="O21" s="38"/>
      <c r="P21" s="90" t="str">
        <f t="shared" si="3"/>
        <v>0.00</v>
      </c>
    </row>
    <row r="22" ht="11.25" customHeight="1">
      <c r="A22" s="23"/>
      <c r="B22" s="18"/>
      <c r="C22" s="18"/>
      <c r="D22" s="38"/>
      <c r="E22" s="21"/>
      <c r="F22" s="21"/>
      <c r="G22" s="21"/>
      <c r="H22" s="21"/>
      <c r="I22" s="21"/>
      <c r="J22" s="38"/>
      <c r="K22" s="38"/>
      <c r="L22" s="38"/>
      <c r="M22" s="38"/>
      <c r="N22" s="38"/>
      <c r="O22" s="38"/>
      <c r="P22" s="90" t="str">
        <f t="shared" si="3"/>
        <v>0.00</v>
      </c>
    </row>
    <row r="23" ht="11.25" customHeight="1">
      <c r="A23" s="23"/>
      <c r="B23" s="18"/>
      <c r="C23" s="18"/>
      <c r="D23" s="38"/>
      <c r="E23" s="21"/>
      <c r="F23" s="21"/>
      <c r="G23" s="21"/>
      <c r="H23" s="21"/>
      <c r="I23" s="38"/>
      <c r="J23" s="38"/>
      <c r="K23" s="38"/>
      <c r="L23" s="38"/>
      <c r="M23" s="38"/>
      <c r="N23" s="38"/>
      <c r="O23" s="38"/>
      <c r="P23" s="90" t="str">
        <f t="shared" si="3"/>
        <v>0.00</v>
      </c>
    </row>
    <row r="24" ht="11.25" customHeight="1">
      <c r="A24" s="23"/>
      <c r="B24" s="18"/>
      <c r="C24" s="18"/>
      <c r="D24" s="38"/>
      <c r="E24" s="21"/>
      <c r="F24" s="21"/>
      <c r="G24" s="21"/>
      <c r="H24" s="21"/>
      <c r="I24" s="38"/>
      <c r="J24" s="38"/>
      <c r="K24" s="38"/>
      <c r="L24" s="38"/>
      <c r="M24" s="38"/>
      <c r="N24" s="38"/>
      <c r="O24" s="38"/>
      <c r="P24" s="90" t="str">
        <f t="shared" si="3"/>
        <v>0.00</v>
      </c>
    </row>
    <row r="25" ht="11.25" customHeight="1">
      <c r="A25" s="23"/>
      <c r="B25" s="19" t="s">
        <v>34</v>
      </c>
      <c r="C25" s="19" t="s">
        <v>35</v>
      </c>
      <c r="D25" s="40">
        <v>1608.0</v>
      </c>
      <c r="E25" s="40">
        <v>1608.0</v>
      </c>
      <c r="F25" s="40">
        <v>1608.0</v>
      </c>
      <c r="G25" s="40">
        <v>1608.0</v>
      </c>
      <c r="H25" s="40">
        <v>1608.0</v>
      </c>
      <c r="I25" s="40">
        <v>1608.0</v>
      </c>
      <c r="J25" s="40">
        <v>1504.0</v>
      </c>
      <c r="K25" s="40">
        <v>1504.0</v>
      </c>
      <c r="L25" s="40">
        <v>1814.71</v>
      </c>
      <c r="M25" s="40">
        <v>1691.78</v>
      </c>
      <c r="N25" s="40">
        <v>1691.78</v>
      </c>
      <c r="O25" s="40">
        <v>1691.78</v>
      </c>
      <c r="P25" s="90" t="str">
        <f t="shared" si="3"/>
        <v>19,546.05</v>
      </c>
    </row>
    <row r="26" ht="11.25" customHeight="1">
      <c r="A26" s="23"/>
      <c r="B26" s="18"/>
      <c r="C26" s="19" t="s">
        <v>36</v>
      </c>
      <c r="D26" s="40">
        <v>514.61</v>
      </c>
      <c r="E26" s="40">
        <v>501.67</v>
      </c>
      <c r="F26" s="40">
        <v>501.67</v>
      </c>
      <c r="G26" s="40">
        <v>501.67</v>
      </c>
      <c r="H26" s="40">
        <v>504.74</v>
      </c>
      <c r="I26" s="40">
        <v>501.67</v>
      </c>
      <c r="J26" s="40">
        <v>648.0</v>
      </c>
      <c r="K26" s="40">
        <v>648.0</v>
      </c>
      <c r="L26" s="40">
        <v>539.0</v>
      </c>
      <c r="M26" s="40">
        <v>541.59</v>
      </c>
      <c r="N26" s="40">
        <v>509.41</v>
      </c>
      <c r="O26" s="40">
        <v>509.41</v>
      </c>
      <c r="P26" s="90" t="str">
        <f t="shared" si="3"/>
        <v>6,421.44</v>
      </c>
    </row>
    <row r="27" ht="11.25" customHeight="1">
      <c r="A27" s="23"/>
      <c r="B27" s="18"/>
      <c r="C27" s="19" t="s">
        <v>37</v>
      </c>
      <c r="D27" s="38"/>
      <c r="E27" s="21"/>
      <c r="F27" s="21"/>
      <c r="G27" s="21"/>
      <c r="H27" s="21"/>
      <c r="I27" s="38"/>
      <c r="J27" s="38"/>
      <c r="K27" s="38"/>
      <c r="L27" s="38"/>
      <c r="M27" s="38"/>
      <c r="N27" s="38"/>
      <c r="O27" s="38"/>
      <c r="P27" s="90" t="str">
        <f t="shared" si="3"/>
        <v>0.00</v>
      </c>
    </row>
    <row r="28" ht="11.25" customHeight="1">
      <c r="A28" s="23"/>
      <c r="B28" s="18"/>
      <c r="C28" s="19" t="s">
        <v>38</v>
      </c>
      <c r="D28" s="38"/>
      <c r="E28" s="21"/>
      <c r="F28" s="21"/>
      <c r="G28" s="21"/>
      <c r="H28" s="21"/>
      <c r="I28" s="38"/>
      <c r="J28" s="38"/>
      <c r="K28" s="38"/>
      <c r="L28" s="38"/>
      <c r="M28" s="38"/>
      <c r="N28" s="38"/>
      <c r="O28" s="38"/>
      <c r="P28" s="90" t="str">
        <f t="shared" si="3"/>
        <v>0.00</v>
      </c>
    </row>
    <row r="29" ht="11.25" customHeight="1">
      <c r="A29" s="23"/>
      <c r="B29" s="18"/>
      <c r="C29" s="19" t="s">
        <v>39</v>
      </c>
      <c r="D29" s="40">
        <v>240.0</v>
      </c>
      <c r="E29" s="40">
        <v>240.0</v>
      </c>
      <c r="F29" s="38" t="str">
        <f>240</f>
        <v>240.00</v>
      </c>
      <c r="G29" s="40">
        <v>240.0</v>
      </c>
      <c r="H29" s="26">
        <v>120.0</v>
      </c>
      <c r="I29" s="40">
        <v>240.0</v>
      </c>
      <c r="J29" s="40">
        <v>260.0</v>
      </c>
      <c r="K29" s="40">
        <v>260.0</v>
      </c>
      <c r="L29" s="38" t="str">
        <f>130</f>
        <v>130.00</v>
      </c>
      <c r="M29" s="40">
        <v>260.0</v>
      </c>
      <c r="N29" s="40">
        <v>260.0</v>
      </c>
      <c r="O29" s="40">
        <v>130.0</v>
      </c>
      <c r="P29" s="90" t="str">
        <f t="shared" si="3"/>
        <v>2,620.00</v>
      </c>
    </row>
    <row r="30" ht="11.25" customHeight="1">
      <c r="A30" s="23"/>
      <c r="B30" s="18"/>
      <c r="C30" s="19" t="s">
        <v>40</v>
      </c>
      <c r="D30" s="38"/>
      <c r="E30" s="21"/>
      <c r="F30" s="21"/>
      <c r="G30" s="21"/>
      <c r="H30" s="21"/>
      <c r="I30" s="38"/>
      <c r="J30" s="38"/>
      <c r="K30" s="38"/>
      <c r="L30" s="38"/>
      <c r="M30" s="38"/>
      <c r="N30" s="38"/>
      <c r="O30" s="38"/>
      <c r="P30" s="90" t="str">
        <f t="shared" si="3"/>
        <v>0.00</v>
      </c>
    </row>
    <row r="31" ht="11.25" customHeight="1">
      <c r="A31" s="23"/>
      <c r="B31" s="18"/>
      <c r="C31" s="18"/>
      <c r="D31" s="38"/>
      <c r="E31" s="21"/>
      <c r="F31" s="21"/>
      <c r="G31" s="21"/>
      <c r="H31" s="21"/>
      <c r="I31" s="38"/>
      <c r="J31" s="38"/>
      <c r="K31" s="38"/>
      <c r="L31" s="38"/>
      <c r="M31" s="38"/>
      <c r="N31" s="38"/>
      <c r="O31" s="38"/>
      <c r="P31" s="90" t="str">
        <f t="shared" si="3"/>
        <v>0.00</v>
      </c>
    </row>
    <row r="32" ht="11.25" customHeight="1">
      <c r="A32" s="23"/>
      <c r="B32" s="19" t="s">
        <v>41</v>
      </c>
      <c r="C32" s="19" t="s">
        <v>42</v>
      </c>
      <c r="D32" s="38"/>
      <c r="E32" s="21"/>
      <c r="F32" s="21"/>
      <c r="G32" s="21"/>
      <c r="H32" s="21"/>
      <c r="I32" s="38"/>
      <c r="J32" s="38"/>
      <c r="K32" s="38"/>
      <c r="L32" s="38"/>
      <c r="M32" s="38"/>
      <c r="N32" s="38"/>
      <c r="O32" s="38"/>
      <c r="P32" s="90" t="str">
        <f t="shared" si="3"/>
        <v>0.00</v>
      </c>
    </row>
    <row r="33" ht="11.25" customHeight="1">
      <c r="A33" s="23"/>
      <c r="B33" s="18"/>
      <c r="C33" s="19" t="s">
        <v>43</v>
      </c>
      <c r="D33" s="38"/>
      <c r="E33" s="21"/>
      <c r="F33" s="21"/>
      <c r="G33" s="21"/>
      <c r="H33" s="21"/>
      <c r="I33" s="38"/>
      <c r="J33" s="38"/>
      <c r="K33" s="38"/>
      <c r="L33" s="38"/>
      <c r="M33" s="40">
        <v>193.0</v>
      </c>
      <c r="N33" s="40">
        <v>193.91</v>
      </c>
      <c r="O33" s="40">
        <v>193.91</v>
      </c>
      <c r="P33" s="90" t="str">
        <f t="shared" si="3"/>
        <v>580.82</v>
      </c>
    </row>
    <row r="34" ht="11.25" customHeight="1">
      <c r="A34" s="23"/>
      <c r="B34" s="18"/>
      <c r="C34" s="19" t="s">
        <v>44</v>
      </c>
      <c r="D34" s="38"/>
      <c r="E34" s="21"/>
      <c r="F34" s="21"/>
      <c r="G34" s="21"/>
      <c r="H34" s="21"/>
      <c r="I34" s="38"/>
      <c r="J34" s="38"/>
      <c r="K34" s="38"/>
      <c r="L34" s="38"/>
      <c r="M34" s="38"/>
      <c r="N34" s="38"/>
      <c r="O34" s="38"/>
      <c r="P34" s="90" t="str">
        <f t="shared" si="3"/>
        <v>0.00</v>
      </c>
    </row>
    <row r="35" ht="11.25" customHeight="1">
      <c r="A35" s="23"/>
      <c r="B35" s="18"/>
      <c r="C35" s="19" t="s">
        <v>45</v>
      </c>
      <c r="D35" s="38"/>
      <c r="E35" s="21"/>
      <c r="F35" s="21"/>
      <c r="G35" s="21"/>
      <c r="H35" s="21"/>
      <c r="I35" s="40">
        <v>105.45</v>
      </c>
      <c r="J35" s="38"/>
      <c r="K35" s="38"/>
      <c r="L35" s="38"/>
      <c r="M35" s="38"/>
      <c r="N35" s="38"/>
      <c r="O35" s="38"/>
      <c r="P35" s="90" t="str">
        <f t="shared" si="3"/>
        <v>105.45</v>
      </c>
    </row>
    <row r="36" ht="11.25" customHeight="1">
      <c r="A36" s="23"/>
      <c r="B36" s="18"/>
      <c r="C36" s="19" t="s">
        <v>46</v>
      </c>
      <c r="D36" s="38"/>
      <c r="E36" s="21"/>
      <c r="F36" s="21"/>
      <c r="G36" s="21"/>
      <c r="H36" s="21"/>
      <c r="I36" s="38"/>
      <c r="J36" s="38"/>
      <c r="K36" s="38"/>
      <c r="L36" s="38"/>
      <c r="M36" s="38"/>
      <c r="N36" s="38"/>
      <c r="O36" s="38"/>
      <c r="P36" s="90" t="str">
        <f t="shared" si="3"/>
        <v>0.00</v>
      </c>
    </row>
    <row r="37" ht="11.25" customHeight="1">
      <c r="A37" s="23"/>
      <c r="B37" s="18"/>
      <c r="C37" s="18"/>
      <c r="D37" s="38"/>
      <c r="E37" s="21"/>
      <c r="F37" s="21"/>
      <c r="G37" s="21"/>
      <c r="H37" s="21"/>
      <c r="I37" s="21"/>
      <c r="J37" s="38"/>
      <c r="K37" s="38"/>
      <c r="L37" s="38"/>
      <c r="M37" s="38"/>
      <c r="N37" s="38"/>
      <c r="O37" s="38"/>
      <c r="P37" s="90" t="str">
        <f t="shared" si="3"/>
        <v>0.00</v>
      </c>
    </row>
    <row r="38" ht="11.25" customHeight="1">
      <c r="A38" s="23"/>
      <c r="B38" s="19" t="s">
        <v>47</v>
      </c>
      <c r="C38" s="19" t="s">
        <v>48</v>
      </c>
      <c r="D38" s="38"/>
      <c r="E38" s="21"/>
      <c r="F38" s="21"/>
      <c r="G38" s="21"/>
      <c r="H38" s="21"/>
      <c r="I38" s="21"/>
      <c r="J38" s="38"/>
      <c r="K38" s="38"/>
      <c r="L38" s="38"/>
      <c r="M38" s="38"/>
      <c r="N38" s="40">
        <v>273.04</v>
      </c>
      <c r="O38" s="40" t="s">
        <v>135</v>
      </c>
      <c r="P38" s="90" t="str">
        <f t="shared" si="3"/>
        <v>273.04</v>
      </c>
    </row>
    <row r="39" ht="11.25" customHeight="1">
      <c r="A39" s="23"/>
      <c r="B39" s="18"/>
      <c r="C39" s="19" t="s">
        <v>49</v>
      </c>
      <c r="D39" s="38"/>
      <c r="E39" s="21"/>
      <c r="F39" s="21"/>
      <c r="G39" s="21"/>
      <c r="H39" s="21"/>
      <c r="I39" s="21"/>
      <c r="J39" s="38"/>
      <c r="K39" s="38"/>
      <c r="L39" s="38"/>
      <c r="M39" s="38"/>
      <c r="N39" s="38"/>
      <c r="O39" s="38"/>
      <c r="P39" s="90" t="str">
        <f t="shared" si="3"/>
        <v>0.00</v>
      </c>
    </row>
    <row r="40" ht="11.25" customHeight="1">
      <c r="A40" s="23"/>
      <c r="B40" s="18"/>
      <c r="C40" s="18"/>
      <c r="D40" s="38"/>
      <c r="E40" s="21"/>
      <c r="F40" s="21"/>
      <c r="G40" s="21"/>
      <c r="H40" s="21"/>
      <c r="I40" s="21"/>
      <c r="J40" s="38"/>
      <c r="K40" s="38"/>
      <c r="L40" s="38"/>
      <c r="M40" s="38"/>
      <c r="N40" s="38"/>
      <c r="O40" s="38"/>
      <c r="P40" s="90" t="str">
        <f t="shared" si="3"/>
        <v>0.00</v>
      </c>
    </row>
    <row r="41" ht="11.25" customHeight="1">
      <c r="A41" s="23"/>
      <c r="B41" s="19" t="s">
        <v>50</v>
      </c>
      <c r="C41" s="19" t="s">
        <v>51</v>
      </c>
      <c r="D41" s="38"/>
      <c r="E41" s="21"/>
      <c r="F41" s="21"/>
      <c r="G41" s="21"/>
      <c r="H41" s="21"/>
      <c r="I41" s="21"/>
      <c r="J41" s="38"/>
      <c r="K41" s="38"/>
      <c r="L41" s="38"/>
      <c r="M41" s="38"/>
      <c r="N41" s="38"/>
      <c r="O41" s="38"/>
      <c r="P41" s="90" t="str">
        <f t="shared" si="3"/>
        <v>0.00</v>
      </c>
    </row>
    <row r="42" ht="11.25" customHeight="1">
      <c r="A42" s="23"/>
      <c r="B42" s="18"/>
      <c r="C42" s="19" t="s">
        <v>52</v>
      </c>
      <c r="D42" s="38"/>
      <c r="E42" s="21"/>
      <c r="F42" s="21"/>
      <c r="G42" s="21"/>
      <c r="H42" s="21"/>
      <c r="I42" s="21"/>
      <c r="J42" s="38"/>
      <c r="K42" s="38"/>
      <c r="L42" s="38"/>
      <c r="M42" s="38"/>
      <c r="N42" s="38"/>
      <c r="O42" s="38"/>
      <c r="P42" s="90" t="str">
        <f t="shared" si="3"/>
        <v>0.00</v>
      </c>
    </row>
    <row r="43" ht="11.25" customHeight="1">
      <c r="A43" s="23"/>
      <c r="B43" s="18"/>
      <c r="C43" s="19" t="s">
        <v>53</v>
      </c>
      <c r="D43" s="38"/>
      <c r="E43" s="21"/>
      <c r="F43" s="21"/>
      <c r="G43" s="21"/>
      <c r="H43" s="38"/>
      <c r="I43" s="21"/>
      <c r="J43" s="38"/>
      <c r="K43" s="38"/>
      <c r="L43" s="38"/>
      <c r="M43" s="38"/>
      <c r="N43" s="38"/>
      <c r="O43" s="38"/>
      <c r="P43" s="90" t="str">
        <f t="shared" si="3"/>
        <v>0.00</v>
      </c>
    </row>
    <row r="44" ht="11.25" customHeight="1">
      <c r="A44" s="23"/>
      <c r="B44" s="18"/>
      <c r="C44" s="18"/>
      <c r="D44" s="38"/>
      <c r="E44" s="21"/>
      <c r="F44" s="21"/>
      <c r="G44" s="21"/>
      <c r="H44" s="38"/>
      <c r="I44" s="21"/>
      <c r="J44" s="38"/>
      <c r="K44" s="38"/>
      <c r="L44" s="38"/>
      <c r="M44" s="38"/>
      <c r="N44" s="38"/>
      <c r="O44" s="38"/>
      <c r="P44" s="90" t="str">
        <f t="shared" si="3"/>
        <v>0.00</v>
      </c>
    </row>
    <row r="45" ht="11.25" customHeight="1">
      <c r="A45" s="23"/>
      <c r="B45" s="19" t="s">
        <v>54</v>
      </c>
      <c r="C45" s="19" t="s">
        <v>55</v>
      </c>
      <c r="D45" s="38"/>
      <c r="E45" s="40">
        <v>156.82</v>
      </c>
      <c r="F45" s="40">
        <v>169.0</v>
      </c>
      <c r="G45" s="92"/>
      <c r="H45" s="40">
        <v>308.83</v>
      </c>
      <c r="I45" s="40">
        <v>160.0</v>
      </c>
      <c r="J45" s="40">
        <v>156.6</v>
      </c>
      <c r="K45" s="40">
        <v>156.78</v>
      </c>
      <c r="L45" s="40">
        <v>156.78</v>
      </c>
      <c r="M45" s="40">
        <v>141.15</v>
      </c>
      <c r="N45" s="40">
        <v>133.81</v>
      </c>
      <c r="O45" s="40">
        <v>133.81</v>
      </c>
      <c r="P45" s="90" t="str">
        <f t="shared" si="3"/>
        <v>1,673.58</v>
      </c>
    </row>
    <row r="46" ht="11.25" customHeight="1">
      <c r="A46" s="23"/>
      <c r="B46" s="18"/>
      <c r="C46" s="19" t="s">
        <v>56</v>
      </c>
      <c r="D46" s="38"/>
      <c r="E46" s="21"/>
      <c r="F46" s="21"/>
      <c r="G46" s="21"/>
      <c r="H46" s="40">
        <v>527.0</v>
      </c>
      <c r="I46" s="21"/>
      <c r="J46" s="38"/>
      <c r="K46" s="38"/>
      <c r="L46" s="38"/>
      <c r="M46" s="38"/>
      <c r="N46" s="38"/>
      <c r="O46" s="38"/>
      <c r="P46" s="90" t="str">
        <f t="shared" si="3"/>
        <v>527.00</v>
      </c>
    </row>
    <row r="47" ht="11.25" customHeight="1">
      <c r="A47" s="23"/>
      <c r="B47" s="18"/>
      <c r="C47" s="18"/>
      <c r="D47" s="38"/>
      <c r="E47" s="21"/>
      <c r="F47" s="21"/>
      <c r="G47" s="21"/>
      <c r="H47" s="38"/>
      <c r="I47" s="21"/>
      <c r="J47" s="38"/>
      <c r="K47" s="38"/>
      <c r="L47" s="38"/>
      <c r="M47" s="38"/>
      <c r="N47" s="38"/>
      <c r="O47" s="38"/>
      <c r="P47" s="90" t="str">
        <f t="shared" si="3"/>
        <v>0.00</v>
      </c>
    </row>
    <row r="48" ht="11.25" customHeight="1">
      <c r="A48" s="23"/>
      <c r="B48" s="19" t="s">
        <v>57</v>
      </c>
      <c r="C48" s="19" t="s">
        <v>58</v>
      </c>
      <c r="D48" s="38" t="str">
        <f>99.12+108.07</f>
        <v>207.19</v>
      </c>
      <c r="E48" s="21" t="str">
        <f>289.66</f>
        <v>289.66</v>
      </c>
      <c r="F48" s="40">
        <v>275.97</v>
      </c>
      <c r="G48" s="40">
        <v>275.97</v>
      </c>
      <c r="H48" s="40">
        <v>275.97</v>
      </c>
      <c r="I48" s="26">
        <v>275.97</v>
      </c>
      <c r="J48" s="40">
        <v>275.97</v>
      </c>
      <c r="K48" s="40">
        <v>275.97</v>
      </c>
      <c r="L48" s="38" t="str">
        <f>101.2+117.25+70.22</f>
        <v>288.67</v>
      </c>
      <c r="M48" s="40">
        <v>275.97</v>
      </c>
      <c r="N48" s="38" t="str">
        <f t="shared" ref="N48:O48" si="4">101.2+117.25+70.22</f>
        <v>288.67</v>
      </c>
      <c r="O48" s="38" t="str">
        <f t="shared" si="4"/>
        <v>288.67</v>
      </c>
      <c r="P48" s="90" t="str">
        <f t="shared" si="3"/>
        <v>3,294.65</v>
      </c>
    </row>
    <row r="49" ht="11.25" customHeight="1">
      <c r="A49" s="23"/>
      <c r="B49" s="18"/>
      <c r="C49" s="19" t="s">
        <v>59</v>
      </c>
      <c r="D49" s="40">
        <v>165.0</v>
      </c>
      <c r="E49" s="93">
        <v>165.0</v>
      </c>
      <c r="F49" s="93">
        <v>165.0</v>
      </c>
      <c r="G49" s="93">
        <v>165.0</v>
      </c>
      <c r="H49" s="93">
        <v>165.0</v>
      </c>
      <c r="I49" s="93">
        <v>165.0</v>
      </c>
      <c r="J49" s="38" t="str">
        <f>36+29.7+5.11</f>
        <v>70.81</v>
      </c>
      <c r="K49" s="40">
        <v>56.0</v>
      </c>
      <c r="L49" s="40">
        <v>56.0</v>
      </c>
      <c r="M49" s="38" t="str">
        <f>56+27.57</f>
        <v>83.57</v>
      </c>
      <c r="N49" s="40">
        <v>56.0</v>
      </c>
      <c r="O49" s="38" t="str">
        <f>56+20.44</f>
        <v>76.44</v>
      </c>
      <c r="P49" s="90" t="str">
        <f t="shared" si="3"/>
        <v>1,388.82</v>
      </c>
    </row>
    <row r="50" ht="11.25" customHeight="1">
      <c r="A50" s="27"/>
      <c r="B50" s="18"/>
      <c r="C50" s="18"/>
      <c r="D50" s="21"/>
      <c r="E50" s="21"/>
      <c r="F50" s="21"/>
      <c r="G50" s="21"/>
      <c r="H50" s="38"/>
      <c r="I50" s="21"/>
      <c r="J50" s="21"/>
      <c r="K50" s="21"/>
      <c r="L50" s="21"/>
      <c r="M50" s="21"/>
      <c r="N50" s="21"/>
      <c r="O50" s="21"/>
      <c r="P50" s="90"/>
    </row>
    <row r="51" ht="11.25" customHeight="1">
      <c r="A51" s="41"/>
      <c r="B51" s="18"/>
      <c r="C51" s="29" t="s">
        <v>17</v>
      </c>
      <c r="D51" s="30" t="str">
        <f t="shared" ref="D51:P51" si="5">SUM(D19:D50)</f>
        <v>2,734.80</v>
      </c>
      <c r="E51" s="30" t="str">
        <f t="shared" si="5"/>
        <v>2,961.15</v>
      </c>
      <c r="F51" s="30" t="str">
        <f t="shared" si="5"/>
        <v>2,959.64</v>
      </c>
      <c r="G51" s="30" t="str">
        <f t="shared" si="5"/>
        <v>2,790.64</v>
      </c>
      <c r="H51" s="30" t="str">
        <f t="shared" si="5"/>
        <v>3,509.54</v>
      </c>
      <c r="I51" s="30" t="str">
        <f t="shared" si="5"/>
        <v>3,056.09</v>
      </c>
      <c r="J51" s="30" t="str">
        <f t="shared" si="5"/>
        <v>2,915.38</v>
      </c>
      <c r="K51" s="30" t="str">
        <f t="shared" si="5"/>
        <v>2,900.75</v>
      </c>
      <c r="L51" s="30" t="str">
        <f t="shared" si="5"/>
        <v>2,985.16</v>
      </c>
      <c r="M51" s="30" t="str">
        <f t="shared" si="5"/>
        <v>3,187.06</v>
      </c>
      <c r="N51" s="30" t="str">
        <f t="shared" si="5"/>
        <v>3,406.62</v>
      </c>
      <c r="O51" s="30" t="str">
        <f t="shared" si="5"/>
        <v>3,024.02</v>
      </c>
      <c r="P51" s="90" t="str">
        <f t="shared" si="5"/>
        <v>36,430.85</v>
      </c>
    </row>
    <row r="52" ht="11.25" customHeight="1">
      <c r="A52" s="41"/>
      <c r="B52" s="18"/>
      <c r="C52" s="29" t="s">
        <v>60</v>
      </c>
      <c r="D52" s="42" t="str">
        <f t="shared" ref="D52:O52" si="6">D51/D12</f>
        <v>31%</v>
      </c>
      <c r="E52" s="42" t="str">
        <f t="shared" si="6"/>
        <v>35%</v>
      </c>
      <c r="F52" s="42" t="str">
        <f t="shared" si="6"/>
        <v>36%</v>
      </c>
      <c r="G52" s="42" t="str">
        <f t="shared" si="6"/>
        <v>30%</v>
      </c>
      <c r="H52" s="86" t="str">
        <f t="shared" si="6"/>
        <v>41%</v>
      </c>
      <c r="I52" s="42" t="str">
        <f t="shared" si="6"/>
        <v>35%</v>
      </c>
      <c r="J52" s="42" t="str">
        <f t="shared" si="6"/>
        <v>35%</v>
      </c>
      <c r="K52" s="42" t="str">
        <f t="shared" si="6"/>
        <v>34%</v>
      </c>
      <c r="L52" s="42" t="str">
        <f t="shared" si="6"/>
        <v>20%</v>
      </c>
      <c r="M52" s="42" t="str">
        <f t="shared" si="6"/>
        <v>44%</v>
      </c>
      <c r="N52" s="42" t="str">
        <f t="shared" si="6"/>
        <v>46%</v>
      </c>
      <c r="O52" s="42" t="str">
        <f t="shared" si="6"/>
        <v>37%</v>
      </c>
      <c r="P52" s="94" t="str">
        <f>P51*100/P12</f>
        <v>34</v>
      </c>
    </row>
    <row r="53" ht="11.25" customHeight="1">
      <c r="A53" s="18"/>
      <c r="B53" s="18"/>
      <c r="C53" s="1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90"/>
    </row>
    <row r="54" ht="11.25" customHeight="1">
      <c r="A54" s="44" t="s">
        <v>61</v>
      </c>
      <c r="B54" s="45"/>
      <c r="C54" s="4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ht="11.25" customHeight="1">
      <c r="A55" s="48" t="s">
        <v>62</v>
      </c>
      <c r="B55" s="19" t="s">
        <v>128</v>
      </c>
      <c r="C55" s="19" t="s">
        <v>64</v>
      </c>
      <c r="D55" s="40">
        <v>1014.38</v>
      </c>
      <c r="E55" s="40">
        <v>1346.44</v>
      </c>
      <c r="F55" s="40">
        <v>1279.68</v>
      </c>
      <c r="G55" s="40">
        <v>438.82</v>
      </c>
      <c r="H55" s="21" t="str">
        <f>495.25</f>
        <v>495.25</v>
      </c>
      <c r="I55" s="40">
        <v>1207.86</v>
      </c>
      <c r="J55" s="40">
        <v>1696.54</v>
      </c>
      <c r="K55" s="40">
        <v>1589.21</v>
      </c>
      <c r="L55" s="38" t="str">
        <f>273.8</f>
        <v>273.80</v>
      </c>
      <c r="M55" s="40">
        <v>500.0</v>
      </c>
      <c r="N55" s="40">
        <v>1000.0</v>
      </c>
      <c r="O55" s="93">
        <v>2369.4</v>
      </c>
      <c r="P55" s="90" t="str">
        <f t="shared" ref="P55:P83" si="7">SUM(D55:O55)</f>
        <v>13,211.38</v>
      </c>
    </row>
    <row r="56" ht="11.25" customHeight="1">
      <c r="A56" s="23"/>
      <c r="B56" s="18"/>
      <c r="C56" s="1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90" t="str">
        <f t="shared" si="7"/>
        <v>0.00</v>
      </c>
    </row>
    <row r="57" ht="11.25" customHeight="1">
      <c r="A57" s="23"/>
      <c r="B57" s="19" t="s">
        <v>34</v>
      </c>
      <c r="C57" s="19" t="s">
        <v>65</v>
      </c>
      <c r="D57" s="40">
        <v>100.46</v>
      </c>
      <c r="E57" s="40">
        <v>117.98</v>
      </c>
      <c r="F57" s="40">
        <v>106.96</v>
      </c>
      <c r="G57" s="40">
        <v>102.69</v>
      </c>
      <c r="H57" s="40">
        <v>139.88</v>
      </c>
      <c r="I57" s="40">
        <v>128.61</v>
      </c>
      <c r="J57" s="40">
        <v>138.0</v>
      </c>
      <c r="K57" s="40">
        <v>145.64</v>
      </c>
      <c r="L57" s="40">
        <v>119.17</v>
      </c>
      <c r="M57" s="40">
        <v>18.09</v>
      </c>
      <c r="N57" s="40" t="s">
        <v>136</v>
      </c>
      <c r="O57" s="40">
        <v>145.23</v>
      </c>
      <c r="P57" s="90" t="str">
        <f t="shared" si="7"/>
        <v>1,262.71</v>
      </c>
    </row>
    <row r="58" ht="11.25" customHeight="1">
      <c r="A58" s="23"/>
      <c r="B58" s="18"/>
      <c r="C58" s="19" t="s">
        <v>66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90" t="str">
        <f t="shared" si="7"/>
        <v>0.00</v>
      </c>
    </row>
    <row r="59" ht="11.25" customHeight="1">
      <c r="A59" s="23"/>
      <c r="B59" s="18"/>
      <c r="C59" s="19" t="s">
        <v>67</v>
      </c>
      <c r="D59" s="38"/>
      <c r="E59" s="21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90" t="str">
        <f t="shared" si="7"/>
        <v>0.00</v>
      </c>
    </row>
    <row r="60" ht="11.25" customHeight="1">
      <c r="A60" s="23"/>
      <c r="B60" s="18"/>
      <c r="C60" s="19" t="s">
        <v>68</v>
      </c>
      <c r="D60" s="40">
        <v>288.58</v>
      </c>
      <c r="E60" s="93">
        <v>316.31</v>
      </c>
      <c r="F60" s="93">
        <v>189.06</v>
      </c>
      <c r="G60" s="40">
        <v>54.42</v>
      </c>
      <c r="H60" s="40">
        <v>137.55</v>
      </c>
      <c r="I60" s="40">
        <v>87.67</v>
      </c>
      <c r="J60" s="40">
        <v>205.92</v>
      </c>
      <c r="K60" s="38" t="str">
        <f>265.04</f>
        <v>265.04</v>
      </c>
      <c r="L60" s="38" t="str">
        <f>178.41</f>
        <v>178.41</v>
      </c>
      <c r="M60" s="40">
        <v>200.0</v>
      </c>
      <c r="N60" s="40">
        <v>146.86</v>
      </c>
      <c r="O60" s="40">
        <v>200.0</v>
      </c>
      <c r="P60" s="90" t="str">
        <f t="shared" si="7"/>
        <v>2,269.82</v>
      </c>
    </row>
    <row r="61" ht="11.25" customHeight="1">
      <c r="A61" s="23"/>
      <c r="B61" s="18"/>
      <c r="C61" s="19" t="s">
        <v>69</v>
      </c>
      <c r="D61" s="38"/>
      <c r="E61" s="2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90" t="str">
        <f t="shared" si="7"/>
        <v>0.00</v>
      </c>
    </row>
    <row r="62" ht="11.25" customHeight="1">
      <c r="A62" s="23"/>
      <c r="B62" s="18"/>
      <c r="C62" s="19" t="s">
        <v>70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90" t="str">
        <f t="shared" si="7"/>
        <v>0.00</v>
      </c>
    </row>
    <row r="63" ht="11.25" customHeight="1">
      <c r="A63" s="23"/>
      <c r="B63" s="18"/>
      <c r="C63" s="19" t="s">
        <v>71</v>
      </c>
      <c r="D63" s="40">
        <v>89.0</v>
      </c>
      <c r="E63" s="40">
        <v>106.6</v>
      </c>
      <c r="F63" s="40">
        <v>107.59</v>
      </c>
      <c r="G63" s="40">
        <v>107.59</v>
      </c>
      <c r="H63" s="40">
        <v>107.59</v>
      </c>
      <c r="I63" s="40">
        <v>137.69</v>
      </c>
      <c r="J63" s="40">
        <v>137.69</v>
      </c>
      <c r="K63" s="40">
        <v>137.69</v>
      </c>
      <c r="L63" s="40">
        <v>137.69</v>
      </c>
      <c r="M63" s="40">
        <v>137.69</v>
      </c>
      <c r="N63" s="40">
        <v>137.69</v>
      </c>
      <c r="O63" s="40">
        <v>137.69</v>
      </c>
      <c r="P63" s="90" t="str">
        <f t="shared" si="7"/>
        <v>1,482.20</v>
      </c>
    </row>
    <row r="64" ht="11.25" customHeight="1">
      <c r="A64" s="23"/>
      <c r="B64" s="18"/>
      <c r="C64" s="18"/>
      <c r="D64" s="38"/>
      <c r="E64" s="38"/>
      <c r="F64" s="38"/>
      <c r="G64" s="38"/>
      <c r="H64" s="21"/>
      <c r="I64" s="38"/>
      <c r="J64" s="38"/>
      <c r="K64" s="38"/>
      <c r="L64" s="38"/>
      <c r="M64" s="38"/>
      <c r="N64" s="38"/>
      <c r="O64" s="38"/>
      <c r="P64" s="90" t="str">
        <f t="shared" si="7"/>
        <v>0.00</v>
      </c>
    </row>
    <row r="65" ht="11.25" customHeight="1">
      <c r="A65" s="23"/>
      <c r="B65" s="19" t="s">
        <v>41</v>
      </c>
      <c r="C65" s="19" t="s">
        <v>72</v>
      </c>
      <c r="D65" s="38"/>
      <c r="E65" s="38"/>
      <c r="F65" s="38"/>
      <c r="G65" s="38"/>
      <c r="H65" s="21"/>
      <c r="I65" s="40">
        <v>12.0</v>
      </c>
      <c r="J65" s="38"/>
      <c r="K65" s="38"/>
      <c r="L65" s="38"/>
      <c r="M65" s="38"/>
      <c r="N65" s="38"/>
      <c r="O65" s="38"/>
      <c r="P65" s="90" t="str">
        <f t="shared" si="7"/>
        <v>12.00</v>
      </c>
    </row>
    <row r="66" ht="11.25" customHeight="1">
      <c r="A66" s="23"/>
      <c r="B66" s="18"/>
      <c r="C66" s="19" t="s">
        <v>73</v>
      </c>
      <c r="D66" s="38"/>
      <c r="E66" s="38"/>
      <c r="F66" s="38"/>
      <c r="G66" s="38"/>
      <c r="H66" s="21"/>
      <c r="I66" s="38"/>
      <c r="J66" s="38"/>
      <c r="K66" s="38"/>
      <c r="L66" s="38"/>
      <c r="M66" s="38"/>
      <c r="N66" s="38"/>
      <c r="O66" s="38"/>
      <c r="P66" s="90" t="str">
        <f t="shared" si="7"/>
        <v>0.00</v>
      </c>
    </row>
    <row r="67" ht="11.25" customHeight="1">
      <c r="A67" s="23"/>
      <c r="B67" s="18"/>
      <c r="C67" s="19" t="s">
        <v>74</v>
      </c>
      <c r="D67" s="38" t="str">
        <f>116.02+117.49</f>
        <v>233.51</v>
      </c>
      <c r="E67" s="38" t="str">
        <f>131.51</f>
        <v>131.51</v>
      </c>
      <c r="F67" s="38" t="str">
        <f>100</f>
        <v>100.00</v>
      </c>
      <c r="G67" s="38" t="str">
        <f>50+50+30+60</f>
        <v>190.00</v>
      </c>
      <c r="H67" s="21" t="str">
        <f>40+60</f>
        <v>100.00</v>
      </c>
      <c r="I67" s="38" t="str">
        <f>40+40</f>
        <v>80.00</v>
      </c>
      <c r="J67" s="38" t="str">
        <f>114+50</f>
        <v>164.00</v>
      </c>
      <c r="K67" s="38" t="str">
        <f>20+207+112.99</f>
        <v>339.99</v>
      </c>
      <c r="L67" s="38"/>
      <c r="M67" s="38" t="str">
        <f>50</f>
        <v>50.00</v>
      </c>
      <c r="N67" s="40">
        <v>200.0</v>
      </c>
      <c r="O67" s="38" t="str">
        <f>50</f>
        <v>50.00</v>
      </c>
      <c r="P67" s="90" t="str">
        <f t="shared" si="7"/>
        <v>1,639.01</v>
      </c>
    </row>
    <row r="68" ht="11.25" customHeight="1">
      <c r="A68" s="23"/>
      <c r="B68" s="18"/>
      <c r="C68" s="19" t="s">
        <v>75</v>
      </c>
      <c r="D68" s="38" t="str">
        <f>7+7+7+7+7</f>
        <v>35.00</v>
      </c>
      <c r="E68" s="38" t="str">
        <f>7+7+6+7+7</f>
        <v>34.00</v>
      </c>
      <c r="F68" s="38" t="str">
        <f>6+9+4</f>
        <v>19.00</v>
      </c>
      <c r="G68" s="38" t="str">
        <f>5.25+4</f>
        <v>9.25</v>
      </c>
      <c r="H68" s="21" t="str">
        <f>4+8+8+8+8+12.5+4+8+6+8+8+8</f>
        <v>90.50</v>
      </c>
      <c r="I68" s="38" t="str">
        <f>8+17.5+16+11+12+10</f>
        <v>74.50</v>
      </c>
      <c r="J68" s="38" t="str">
        <f>3.5</f>
        <v>3.50</v>
      </c>
      <c r="K68" s="38" t="str">
        <f>10+15+5+8+8</f>
        <v>46.00</v>
      </c>
      <c r="L68" s="38" t="str">
        <f>5+5</f>
        <v>10.00</v>
      </c>
      <c r="M68" s="40">
        <v>40.0</v>
      </c>
      <c r="N68" s="38" t="str">
        <f>8+8</f>
        <v>16.00</v>
      </c>
      <c r="O68" s="38" t="str">
        <f>8+4+6</f>
        <v>18.00</v>
      </c>
      <c r="P68" s="90" t="str">
        <f t="shared" si="7"/>
        <v>395.75</v>
      </c>
    </row>
    <row r="69" ht="11.25" customHeight="1">
      <c r="A69" s="23"/>
      <c r="B69" s="18"/>
      <c r="C69" s="18"/>
      <c r="D69" s="38"/>
      <c r="E69" s="38"/>
      <c r="F69" s="38"/>
      <c r="G69" s="38"/>
      <c r="H69" s="21"/>
      <c r="I69" s="38"/>
      <c r="J69" s="38"/>
      <c r="K69" s="38"/>
      <c r="L69" s="38"/>
      <c r="M69" s="38"/>
      <c r="N69" s="38"/>
      <c r="O69" s="38"/>
      <c r="P69" s="90" t="str">
        <f t="shared" si="7"/>
        <v>0.00</v>
      </c>
    </row>
    <row r="70" ht="11.25" customHeight="1">
      <c r="A70" s="23"/>
      <c r="B70" s="19" t="s">
        <v>76</v>
      </c>
      <c r="C70" s="19" t="s">
        <v>77</v>
      </c>
      <c r="D70" s="38" t="str">
        <f>47.58+245.88+117.88+85.22+9.4+372.3+26.25+66+83.62</f>
        <v>1,054.13</v>
      </c>
      <c r="E70" s="38" t="str">
        <f>398.34+11.63+28.16+16.98+11.9+76.48+63.6+41.88</f>
        <v>648.97</v>
      </c>
      <c r="F70" s="38" t="str">
        <f>18.78+274.71+413.68+38.39+104.68</f>
        <v>850.24</v>
      </c>
      <c r="G70" s="92" t="str">
        <f>20+96+26.5+16.13+11.79+3.93+64.67</f>
        <v>239.02</v>
      </c>
      <c r="H70" s="21" t="str">
        <f>57.72+57.49+104.7+23.15+29.5+94.52+283.74+9.99</f>
        <v>660.81</v>
      </c>
      <c r="I70" s="38" t="str">
        <f>28.46+10.86+16.9+54.53+461.87+2.49+106.08</f>
        <v>681.19</v>
      </c>
      <c r="J70" s="38" t="str">
        <f>163.86+308.02+14.68+33.04+96.64+16.02+14.45+17.54</f>
        <v>664.25</v>
      </c>
      <c r="K70" s="92" t="str">
        <f>21+10.96+8.42+97.3</f>
        <v>137.68</v>
      </c>
      <c r="L70" s="38"/>
      <c r="M70" s="38" t="str">
        <f>20.87+14.57+55.67+7.7+253.37</f>
        <v>352.18</v>
      </c>
      <c r="N70" s="92" t="str">
        <f>350.42+16.9+206.08+106.7+116.89</f>
        <v>796.99</v>
      </c>
      <c r="O70" s="92" t="str">
        <f>29.34+29.34+347.25+381.39+46.28+7.7</f>
        <v>841.30</v>
      </c>
      <c r="P70" s="90" t="str">
        <f t="shared" si="7"/>
        <v>6,926.76</v>
      </c>
    </row>
    <row r="71" ht="11.25" customHeight="1">
      <c r="A71" s="23"/>
      <c r="B71" s="18"/>
      <c r="C71" s="19" t="s">
        <v>78</v>
      </c>
      <c r="D71" s="40">
        <v>40.0</v>
      </c>
      <c r="E71" s="38" t="str">
        <f>23.5+10.35</f>
        <v>33.85</v>
      </c>
      <c r="F71" s="38" t="str">
        <f>13.7</f>
        <v>13.70</v>
      </c>
      <c r="G71" s="38" t="str">
        <f>30</f>
        <v>30.00</v>
      </c>
      <c r="H71" s="26">
        <v>40.0</v>
      </c>
      <c r="I71" s="38" t="str">
        <f>16.41</f>
        <v>16.41</v>
      </c>
      <c r="J71" s="38" t="str">
        <f>13.67</f>
        <v>13.67</v>
      </c>
      <c r="K71" s="40">
        <v>40.0</v>
      </c>
      <c r="L71" s="38"/>
      <c r="M71" s="40">
        <v>10.0</v>
      </c>
      <c r="N71" s="38" t="str">
        <f>27.61</f>
        <v>27.61</v>
      </c>
      <c r="O71" s="40">
        <v>40.0</v>
      </c>
      <c r="P71" s="90" t="str">
        <f t="shared" si="7"/>
        <v>305.24</v>
      </c>
    </row>
    <row r="72" ht="11.25" customHeight="1">
      <c r="A72" s="23"/>
      <c r="B72" s="18"/>
      <c r="C72" s="19" t="s">
        <v>79</v>
      </c>
      <c r="D72" s="40">
        <v>30.0</v>
      </c>
      <c r="E72" s="38" t="str">
        <f>13</f>
        <v>13.00</v>
      </c>
      <c r="F72" s="38" t="str">
        <f>7</f>
        <v>7.00</v>
      </c>
      <c r="G72" s="38" t="str">
        <f>11.6+5</f>
        <v>16.60</v>
      </c>
      <c r="H72" s="26">
        <v>30.0</v>
      </c>
      <c r="I72" s="40">
        <v>30.0</v>
      </c>
      <c r="J72" s="40">
        <v>30.0</v>
      </c>
      <c r="K72" s="38" t="str">
        <f>8</f>
        <v>8.00</v>
      </c>
      <c r="L72" s="38" t="str">
        <f>3.8</f>
        <v>3.80</v>
      </c>
      <c r="M72" s="40">
        <v>10.0</v>
      </c>
      <c r="N72" s="40">
        <v>30.0</v>
      </c>
      <c r="O72" s="38" t="str">
        <f>44.9+8.64</f>
        <v>53.54</v>
      </c>
      <c r="P72" s="90" t="str">
        <f t="shared" si="7"/>
        <v>261.94</v>
      </c>
    </row>
    <row r="73" ht="11.25" customHeight="1">
      <c r="A73" s="23"/>
      <c r="B73" s="18"/>
      <c r="C73" s="19" t="s">
        <v>80</v>
      </c>
      <c r="D73" s="38" t="str">
        <f>49.9+41.09+57+26.4+23.72+30</f>
        <v>228.11</v>
      </c>
      <c r="E73" s="38" t="str">
        <f>16.45+62.8+18+7.26+17.5+24.9+43.59+24.9+28.83+10.44</f>
        <v>254.67</v>
      </c>
      <c r="F73" s="38" t="str">
        <f>16+10.14+19+76.58</f>
        <v>121.72</v>
      </c>
      <c r="G73" s="38" t="str">
        <f>8.5+10+9.9+20.48+63.8+74.93</f>
        <v>187.61</v>
      </c>
      <c r="H73" s="21" t="str">
        <f>32.34+18.6+23.95</f>
        <v>74.89</v>
      </c>
      <c r="I73" s="92" t="str">
        <f>10.5+14.22+13.56+15.21+9.49+19+30.69+35.68+19.87+22.98+25.3+36.3+16.37+40.73+19.79+25.3+19+22.99</f>
        <v>396.98</v>
      </c>
      <c r="J73" s="38" t="str">
        <f>26.65+30.96+48.2+22.25+28.02+16.8+25.48+23.04+13.17+29.56+28.74</f>
        <v>292.87</v>
      </c>
      <c r="K73" s="38" t="str">
        <f>14.4+21.4+14+21.4+38.9+16.4+32.11+27.43+18.4+8.5+22.5</f>
        <v>235.44</v>
      </c>
      <c r="L73" s="38" t="str">
        <f>12.9+33.6+18.9+10.9</f>
        <v>76.30</v>
      </c>
      <c r="M73" s="38" t="str">
        <f>25+15.4</f>
        <v>40.40</v>
      </c>
      <c r="N73" s="38" t="str">
        <f>25.15+15.16+15.47+28.6+29.3+26.3</f>
        <v>139.98</v>
      </c>
      <c r="O73" s="38" t="str">
        <f>24.54+18.73+19.9+20.5+33</f>
        <v>116.67</v>
      </c>
      <c r="P73" s="90" t="str">
        <f t="shared" si="7"/>
        <v>2,165.64</v>
      </c>
    </row>
    <row r="74" ht="11.25" customHeight="1">
      <c r="A74" s="23"/>
      <c r="B74" s="18"/>
      <c r="C74" s="18"/>
      <c r="D74" s="38"/>
      <c r="E74" s="38"/>
      <c r="F74" s="38"/>
      <c r="G74" s="38"/>
      <c r="H74" s="21"/>
      <c r="I74" s="21"/>
      <c r="J74" s="38"/>
      <c r="K74" s="38"/>
      <c r="L74" s="38"/>
      <c r="M74" s="38"/>
      <c r="N74" s="38"/>
      <c r="O74" s="38"/>
      <c r="P74" s="90" t="str">
        <f t="shared" si="7"/>
        <v>0.00</v>
      </c>
    </row>
    <row r="75" ht="11.25" customHeight="1">
      <c r="A75" s="23"/>
      <c r="B75" s="19" t="s">
        <v>47</v>
      </c>
      <c r="C75" s="19" t="s">
        <v>81</v>
      </c>
      <c r="D75" s="38"/>
      <c r="E75" s="38" t="str">
        <f>92.23+20.47+19.07</f>
        <v>131.77</v>
      </c>
      <c r="F75" s="38" t="str">
        <f>118.42</f>
        <v>118.42</v>
      </c>
      <c r="G75" s="38" t="str">
        <f>11.9+36.99</f>
        <v>48.89</v>
      </c>
      <c r="H75" s="21" t="str">
        <f>36.68+9.62</f>
        <v>46.30</v>
      </c>
      <c r="I75" s="38" t="str">
        <f>73.52</f>
        <v>73.52</v>
      </c>
      <c r="J75" s="38" t="str">
        <f>5</f>
        <v>5.00</v>
      </c>
      <c r="K75" s="38" t="str">
        <f>12.99</f>
        <v>12.99</v>
      </c>
      <c r="L75" s="38"/>
      <c r="M75" s="38" t="str">
        <f>10.18</f>
        <v>10.18</v>
      </c>
      <c r="N75" s="38" t="str">
        <f>66.18+25.12</f>
        <v>91.30</v>
      </c>
      <c r="O75" s="92" t="str">
        <f>4+113.84+181.85</f>
        <v>299.69</v>
      </c>
      <c r="P75" s="90" t="str">
        <f t="shared" si="7"/>
        <v>838.06</v>
      </c>
    </row>
    <row r="76" ht="11.25" customHeight="1">
      <c r="A76" s="23"/>
      <c r="B76" s="18"/>
      <c r="C76" s="19" t="s">
        <v>137</v>
      </c>
      <c r="D76" s="40">
        <v>477.0</v>
      </c>
      <c r="E76" s="40">
        <v>477.0</v>
      </c>
      <c r="F76" s="40">
        <v>477.0</v>
      </c>
      <c r="G76" s="40">
        <v>477.0</v>
      </c>
      <c r="H76" s="26">
        <v>477.0</v>
      </c>
      <c r="I76" s="40">
        <v>477.0</v>
      </c>
      <c r="J76" s="40">
        <v>477.0</v>
      </c>
      <c r="K76" s="38" t="str">
        <f>44</f>
        <v>44.00</v>
      </c>
      <c r="L76" s="38"/>
      <c r="M76" s="38"/>
      <c r="N76" s="38"/>
      <c r="O76" s="40">
        <v>289.0</v>
      </c>
      <c r="P76" s="90" t="str">
        <f t="shared" si="7"/>
        <v>3,672.00</v>
      </c>
    </row>
    <row r="77" ht="11.25" customHeight="1">
      <c r="A77" s="23"/>
      <c r="B77" s="18"/>
      <c r="C77" s="18"/>
      <c r="D77" s="38"/>
      <c r="E77" s="38"/>
      <c r="F77" s="38"/>
      <c r="G77" s="38"/>
      <c r="H77" s="21"/>
      <c r="I77" s="21"/>
      <c r="J77" s="38"/>
      <c r="K77" s="38"/>
      <c r="L77" s="38"/>
      <c r="M77" s="38"/>
      <c r="N77" s="38"/>
      <c r="O77" s="38"/>
      <c r="P77" s="90" t="str">
        <f t="shared" si="7"/>
        <v>0.00</v>
      </c>
    </row>
    <row r="78" ht="11.25" customHeight="1">
      <c r="A78" s="23"/>
      <c r="B78" s="19" t="s">
        <v>131</v>
      </c>
      <c r="C78" s="19" t="s">
        <v>84</v>
      </c>
      <c r="D78" s="38" t="str">
        <f>153+40</f>
        <v>193.00</v>
      </c>
      <c r="E78" s="38" t="str">
        <f>95</f>
        <v>95.00</v>
      </c>
      <c r="F78" s="38" t="str">
        <f>45+23+65</f>
        <v>133.00</v>
      </c>
      <c r="G78" s="38" t="str">
        <f>68+68</f>
        <v>136.00</v>
      </c>
      <c r="H78" s="21" t="str">
        <f>190+135</f>
        <v>325.00</v>
      </c>
      <c r="I78" s="92" t="str">
        <f>45+236+59.5+203</f>
        <v>543.50</v>
      </c>
      <c r="J78" s="38" t="str">
        <f>91+250</f>
        <v>341.00</v>
      </c>
      <c r="K78" s="38" t="str">
        <f>65</f>
        <v>65.00</v>
      </c>
      <c r="L78" s="38" t="str">
        <f>353</f>
        <v>353.00</v>
      </c>
      <c r="M78" s="38" t="str">
        <f>60</f>
        <v>60.00</v>
      </c>
      <c r="N78" s="38" t="str">
        <f>308</f>
        <v>308.00</v>
      </c>
      <c r="O78" s="38" t="str">
        <f>145</f>
        <v>145.00</v>
      </c>
      <c r="P78" s="90" t="str">
        <f t="shared" si="7"/>
        <v>2,697.50</v>
      </c>
    </row>
    <row r="79" ht="11.25" customHeight="1">
      <c r="A79" s="23"/>
      <c r="B79" s="18"/>
      <c r="C79" s="19" t="s">
        <v>85</v>
      </c>
      <c r="D79" s="38"/>
      <c r="E79" s="38"/>
      <c r="F79" s="38"/>
      <c r="G79" s="38"/>
      <c r="H79" s="21"/>
      <c r="I79" s="21"/>
      <c r="J79" s="38"/>
      <c r="K79" s="38"/>
      <c r="L79" s="38"/>
      <c r="M79" s="38"/>
      <c r="N79" s="38"/>
      <c r="O79" s="38"/>
      <c r="P79" s="90" t="str">
        <f t="shared" si="7"/>
        <v>0.00</v>
      </c>
    </row>
    <row r="80" ht="11.25" customHeight="1">
      <c r="A80" s="23"/>
      <c r="B80" s="18"/>
      <c r="C80" s="19" t="s">
        <v>86</v>
      </c>
      <c r="D80" s="38"/>
      <c r="E80" s="38"/>
      <c r="F80" s="38"/>
      <c r="G80" s="38"/>
      <c r="H80" s="21"/>
      <c r="I80" s="21"/>
      <c r="J80" s="38"/>
      <c r="K80" s="38"/>
      <c r="L80" s="38"/>
      <c r="M80" s="38"/>
      <c r="N80" s="38"/>
      <c r="O80" s="38"/>
      <c r="P80" s="90" t="str">
        <f t="shared" si="7"/>
        <v>0.00</v>
      </c>
    </row>
    <row r="81" ht="11.25" customHeight="1">
      <c r="A81" s="23"/>
      <c r="B81" s="18"/>
      <c r="C81" s="19" t="s">
        <v>82</v>
      </c>
      <c r="D81" s="38"/>
      <c r="E81" s="38"/>
      <c r="F81" s="38"/>
      <c r="G81" s="38"/>
      <c r="H81" s="21"/>
      <c r="I81" s="21"/>
      <c r="J81" s="38"/>
      <c r="K81" s="38"/>
      <c r="L81" s="38"/>
      <c r="M81" s="38"/>
      <c r="N81" s="38"/>
      <c r="O81" s="38"/>
      <c r="P81" s="90" t="str">
        <f t="shared" si="7"/>
        <v>0.00</v>
      </c>
    </row>
    <row r="82" ht="11.25" customHeight="1">
      <c r="A82" s="23"/>
      <c r="B82" s="18"/>
      <c r="C82" s="19" t="s">
        <v>87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90" t="str">
        <f t="shared" si="7"/>
        <v>0.00</v>
      </c>
    </row>
    <row r="83" ht="11.25" customHeight="1">
      <c r="A83" s="27"/>
      <c r="B83" s="18"/>
      <c r="C83" s="18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90" t="str">
        <f t="shared" si="7"/>
        <v>0.00</v>
      </c>
    </row>
    <row r="84" ht="11.25" customHeight="1">
      <c r="A84" s="45"/>
      <c r="B84" s="28"/>
      <c r="C84" s="29" t="s">
        <v>17</v>
      </c>
      <c r="D84" s="30" t="str">
        <f t="shared" ref="D84:P84" si="8">SUM(D55:D83)</f>
        <v>3,783.17</v>
      </c>
      <c r="E84" s="30" t="str">
        <f t="shared" si="8"/>
        <v>3,707.10</v>
      </c>
      <c r="F84" s="30" t="str">
        <f t="shared" si="8"/>
        <v>3,523.37</v>
      </c>
      <c r="G84" s="30" t="str">
        <f t="shared" si="8"/>
        <v>2,037.89</v>
      </c>
      <c r="H84" s="30" t="str">
        <f t="shared" si="8"/>
        <v>2,724.77</v>
      </c>
      <c r="I84" s="30" t="str">
        <f t="shared" si="8"/>
        <v>3,946.93</v>
      </c>
      <c r="J84" s="30" t="str">
        <f t="shared" si="8"/>
        <v>4,169.44</v>
      </c>
      <c r="K84" s="30" t="str">
        <f t="shared" si="8"/>
        <v>3,066.68</v>
      </c>
      <c r="L84" s="30" t="str">
        <f t="shared" si="8"/>
        <v>1,152.17</v>
      </c>
      <c r="M84" s="30" t="str">
        <f t="shared" si="8"/>
        <v>1,428.54</v>
      </c>
      <c r="N84" s="30" t="str">
        <f t="shared" si="8"/>
        <v>2,894.43</v>
      </c>
      <c r="O84" s="30" t="str">
        <f t="shared" si="8"/>
        <v>4,705.52</v>
      </c>
      <c r="P84" s="90" t="str">
        <f t="shared" si="8"/>
        <v>37,140.01</v>
      </c>
    </row>
    <row r="85" ht="11.25" customHeight="1">
      <c r="A85" s="45"/>
      <c r="B85" s="28"/>
      <c r="C85" s="29" t="s">
        <v>60</v>
      </c>
      <c r="D85" s="42" t="str">
        <f t="shared" ref="D85:O85" si="9">D84/D12</f>
        <v>42%</v>
      </c>
      <c r="E85" s="42" t="str">
        <f t="shared" si="9"/>
        <v>43%</v>
      </c>
      <c r="F85" s="42" t="str">
        <f t="shared" si="9"/>
        <v>42%</v>
      </c>
      <c r="G85" s="42" t="str">
        <f t="shared" si="9"/>
        <v>22%</v>
      </c>
      <c r="H85" s="86" t="str">
        <f t="shared" si="9"/>
        <v>32%</v>
      </c>
      <c r="I85" s="42" t="str">
        <f t="shared" si="9"/>
        <v>45%</v>
      </c>
      <c r="J85" s="42" t="str">
        <f t="shared" si="9"/>
        <v>50%</v>
      </c>
      <c r="K85" s="42" t="str">
        <f t="shared" si="9"/>
        <v>36%</v>
      </c>
      <c r="L85" s="42" t="str">
        <f t="shared" si="9"/>
        <v>8%</v>
      </c>
      <c r="M85" s="42" t="str">
        <f t="shared" si="9"/>
        <v>20%</v>
      </c>
      <c r="N85" s="42" t="str">
        <f t="shared" si="9"/>
        <v>39%</v>
      </c>
      <c r="O85" s="42" t="str">
        <f t="shared" si="9"/>
        <v>58%</v>
      </c>
      <c r="P85" s="94" t="str">
        <f>P84*100/P12</f>
        <v>35</v>
      </c>
    </row>
    <row r="86" ht="11.25" customHeight="1">
      <c r="A86" s="18"/>
      <c r="B86" s="18"/>
      <c r="C86" s="18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90"/>
    </row>
    <row r="87" ht="11.25" customHeight="1">
      <c r="A87" s="49" t="s">
        <v>88</v>
      </c>
      <c r="B87" s="50"/>
      <c r="C87" s="50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ht="11.25" customHeight="1">
      <c r="A88" s="53" t="s">
        <v>89</v>
      </c>
      <c r="B88" s="19" t="s">
        <v>47</v>
      </c>
      <c r="C88" s="19" t="s">
        <v>90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90" t="str">
        <f t="shared" ref="P88:P98" si="10">SUM(D88:O88)</f>
        <v>0.00</v>
      </c>
    </row>
    <row r="89" ht="11.25" customHeight="1">
      <c r="A89" s="23"/>
      <c r="B89" s="18"/>
      <c r="C89" s="19" t="s">
        <v>91</v>
      </c>
      <c r="D89" s="21"/>
      <c r="E89" s="21"/>
      <c r="F89" s="38"/>
      <c r="G89" s="38"/>
      <c r="H89" s="21"/>
      <c r="I89" s="21"/>
      <c r="J89" s="21"/>
      <c r="K89" s="21"/>
      <c r="L89" s="21"/>
      <c r="M89" s="21"/>
      <c r="N89" s="21"/>
      <c r="O89" s="21"/>
      <c r="P89" s="90" t="str">
        <f t="shared" si="10"/>
        <v>0.00</v>
      </c>
    </row>
    <row r="90" ht="11.25" customHeight="1">
      <c r="A90" s="23"/>
      <c r="B90" s="18"/>
      <c r="C90" s="19" t="s">
        <v>92</v>
      </c>
      <c r="D90" s="21"/>
      <c r="E90" s="38"/>
      <c r="F90" s="38"/>
      <c r="G90" s="38"/>
      <c r="H90" s="21"/>
      <c r="I90" s="21"/>
      <c r="J90" s="21"/>
      <c r="K90" s="21"/>
      <c r="L90" s="21"/>
      <c r="M90" s="21"/>
      <c r="N90" s="21"/>
      <c r="O90" s="21"/>
      <c r="P90" s="90" t="str">
        <f t="shared" si="10"/>
        <v>0.00</v>
      </c>
    </row>
    <row r="91" ht="11.25" customHeight="1">
      <c r="A91" s="23"/>
      <c r="B91" s="18"/>
      <c r="C91" s="18"/>
      <c r="D91" s="21"/>
      <c r="E91" s="38"/>
      <c r="F91" s="38"/>
      <c r="G91" s="38"/>
      <c r="H91" s="21"/>
      <c r="I91" s="38"/>
      <c r="J91" s="21"/>
      <c r="K91" s="21"/>
      <c r="L91" s="21"/>
      <c r="M91" s="21"/>
      <c r="N91" s="21"/>
      <c r="O91" s="21"/>
      <c r="P91" s="90" t="str">
        <f t="shared" si="10"/>
        <v>0.00</v>
      </c>
    </row>
    <row r="92" ht="11.25" customHeight="1">
      <c r="A92" s="23"/>
      <c r="B92" s="19" t="s">
        <v>93</v>
      </c>
      <c r="C92" s="19" t="s">
        <v>94</v>
      </c>
      <c r="D92" s="21"/>
      <c r="E92" s="38" t="str">
        <f>272</f>
        <v>272.00</v>
      </c>
      <c r="F92" s="38" t="str">
        <f>62+73.13</f>
        <v>135.13</v>
      </c>
      <c r="G92" s="38"/>
      <c r="H92" s="21"/>
      <c r="I92" s="38"/>
      <c r="J92" s="21"/>
      <c r="K92" s="21" t="str">
        <f>207</f>
        <v>207.00</v>
      </c>
      <c r="L92" s="21"/>
      <c r="M92" s="21"/>
      <c r="N92" s="21"/>
      <c r="O92" s="26">
        <v>241.0</v>
      </c>
      <c r="P92" s="90" t="str">
        <f t="shared" si="10"/>
        <v>855.13</v>
      </c>
    </row>
    <row r="93" ht="11.25" customHeight="1">
      <c r="A93" s="23"/>
      <c r="B93" s="18"/>
      <c r="C93" s="19" t="s">
        <v>95</v>
      </c>
      <c r="D93" s="21"/>
      <c r="E93" s="38" t="str">
        <f>55.55+32.4+9.4+409.52</f>
        <v>506.87</v>
      </c>
      <c r="F93" s="38"/>
      <c r="G93" s="38" t="str">
        <f>98.79+13.5+371</f>
        <v>483.29</v>
      </c>
      <c r="H93" s="26">
        <v>250.0</v>
      </c>
      <c r="I93" s="38" t="str">
        <f>160</f>
        <v>160.00</v>
      </c>
      <c r="J93" s="21"/>
      <c r="K93" s="26">
        <v>250.0</v>
      </c>
      <c r="L93" s="21"/>
      <c r="M93" s="21"/>
      <c r="N93" s="21" t="str">
        <f>29.99</f>
        <v>29.99</v>
      </c>
      <c r="O93" s="21" t="str">
        <f>307.67</f>
        <v>307.67</v>
      </c>
      <c r="P93" s="90" t="str">
        <f t="shared" si="10"/>
        <v>1,987.82</v>
      </c>
    </row>
    <row r="94" ht="11.25" customHeight="1">
      <c r="A94" s="23"/>
      <c r="B94" s="18"/>
      <c r="C94" s="18"/>
      <c r="D94" s="21"/>
      <c r="E94" s="38"/>
      <c r="F94" s="38"/>
      <c r="G94" s="38"/>
      <c r="H94" s="21"/>
      <c r="I94" s="38"/>
      <c r="J94" s="21"/>
      <c r="K94" s="21"/>
      <c r="L94" s="21"/>
      <c r="M94" s="21"/>
      <c r="N94" s="21"/>
      <c r="O94" s="21"/>
      <c r="P94" s="90" t="str">
        <f t="shared" si="10"/>
        <v>0.00</v>
      </c>
    </row>
    <row r="95" ht="11.25" customHeight="1">
      <c r="A95" s="23"/>
      <c r="B95" s="19" t="s">
        <v>50</v>
      </c>
      <c r="C95" s="19" t="s">
        <v>96</v>
      </c>
      <c r="D95" s="21"/>
      <c r="E95" s="38"/>
      <c r="F95" s="38"/>
      <c r="G95" s="38"/>
      <c r="H95" s="21"/>
      <c r="I95" s="38"/>
      <c r="J95" s="21"/>
      <c r="K95" s="21"/>
      <c r="L95" s="21"/>
      <c r="M95" s="21"/>
      <c r="N95" s="21"/>
      <c r="O95" s="21"/>
      <c r="P95" s="90" t="str">
        <f t="shared" si="10"/>
        <v>0.00</v>
      </c>
    </row>
    <row r="96" ht="11.25" customHeight="1">
      <c r="A96" s="23"/>
      <c r="B96" s="18"/>
      <c r="C96" s="19" t="s">
        <v>138</v>
      </c>
      <c r="D96" s="21"/>
      <c r="E96" s="38"/>
      <c r="F96" s="21"/>
      <c r="G96" s="38"/>
      <c r="H96" s="21"/>
      <c r="I96" s="38"/>
      <c r="J96" s="21"/>
      <c r="K96" s="21"/>
      <c r="L96" s="21"/>
      <c r="M96" s="26">
        <v>120.0</v>
      </c>
      <c r="N96" s="21"/>
      <c r="O96" s="21"/>
      <c r="P96" s="90" t="str">
        <f t="shared" si="10"/>
        <v>120.00</v>
      </c>
    </row>
    <row r="97" ht="11.25" customHeight="1">
      <c r="A97" s="27"/>
      <c r="B97" s="18"/>
      <c r="C97" s="18"/>
      <c r="D97" s="21"/>
      <c r="E97" s="38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90" t="str">
        <f t="shared" si="10"/>
        <v>0.00</v>
      </c>
    </row>
    <row r="98" ht="11.25" customHeight="1">
      <c r="A98" s="50"/>
      <c r="B98" s="28"/>
      <c r="C98" s="29" t="s">
        <v>17</v>
      </c>
      <c r="D98" s="30" t="str">
        <f t="shared" ref="D98:O98" si="11">SUM(D88:D97)</f>
        <v>0.00</v>
      </c>
      <c r="E98" s="30" t="str">
        <f t="shared" si="11"/>
        <v>778.87</v>
      </c>
      <c r="F98" s="30" t="str">
        <f t="shared" si="11"/>
        <v>135.13</v>
      </c>
      <c r="G98" s="30" t="str">
        <f t="shared" si="11"/>
        <v>483.29</v>
      </c>
      <c r="H98" s="30" t="str">
        <f t="shared" si="11"/>
        <v>250.00</v>
      </c>
      <c r="I98" s="30" t="str">
        <f t="shared" si="11"/>
        <v>160.00</v>
      </c>
      <c r="J98" s="30" t="str">
        <f t="shared" si="11"/>
        <v>0.00</v>
      </c>
      <c r="K98" s="30" t="str">
        <f t="shared" si="11"/>
        <v>457.00</v>
      </c>
      <c r="L98" s="30" t="str">
        <f t="shared" si="11"/>
        <v>0.00</v>
      </c>
      <c r="M98" s="30" t="str">
        <f t="shared" si="11"/>
        <v>120.00</v>
      </c>
      <c r="N98" s="30" t="str">
        <f t="shared" si="11"/>
        <v>29.99</v>
      </c>
      <c r="O98" s="30" t="str">
        <f t="shared" si="11"/>
        <v>548.67</v>
      </c>
      <c r="P98" s="90" t="str">
        <f t="shared" si="10"/>
        <v>2,962.95</v>
      </c>
    </row>
    <row r="99" ht="11.25" customHeight="1">
      <c r="A99" s="50"/>
      <c r="B99" s="28"/>
      <c r="C99" s="29" t="s">
        <v>60</v>
      </c>
      <c r="D99" s="42" t="str">
        <f>D98*100/D12</f>
        <v>0%</v>
      </c>
      <c r="E99" s="42" t="str">
        <f t="shared" ref="E99:O99" si="12">E98/E12</f>
        <v>9%</v>
      </c>
      <c r="F99" s="42" t="str">
        <f t="shared" si="12"/>
        <v>2%</v>
      </c>
      <c r="G99" s="42" t="str">
        <f t="shared" si="12"/>
        <v>5%</v>
      </c>
      <c r="H99" s="42" t="str">
        <f t="shared" si="12"/>
        <v>3%</v>
      </c>
      <c r="I99" s="42" t="str">
        <f t="shared" si="12"/>
        <v>2%</v>
      </c>
      <c r="J99" s="42" t="str">
        <f t="shared" si="12"/>
        <v>0%</v>
      </c>
      <c r="K99" s="42" t="str">
        <f t="shared" si="12"/>
        <v>5%</v>
      </c>
      <c r="L99" s="42" t="str">
        <f t="shared" si="12"/>
        <v>0%</v>
      </c>
      <c r="M99" s="42" t="str">
        <f t="shared" si="12"/>
        <v>2%</v>
      </c>
      <c r="N99" s="42" t="str">
        <f t="shared" si="12"/>
        <v>0%</v>
      </c>
      <c r="O99" s="42" t="str">
        <f t="shared" si="12"/>
        <v>7%</v>
      </c>
      <c r="P99" s="95" t="str">
        <f>P98*100/P12</f>
        <v>279%</v>
      </c>
    </row>
    <row r="100" ht="11.25" customHeight="1">
      <c r="A100" s="18"/>
      <c r="B100" s="18"/>
      <c r="C100" s="18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90"/>
    </row>
    <row r="101" ht="11.25" customHeight="1">
      <c r="A101" s="55" t="s">
        <v>98</v>
      </c>
      <c r="B101" s="56"/>
      <c r="C101" s="56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</row>
    <row r="102" ht="11.25" customHeight="1">
      <c r="A102" s="59" t="s">
        <v>99</v>
      </c>
      <c r="B102" s="19" t="s">
        <v>100</v>
      </c>
      <c r="C102" s="19" t="s">
        <v>101</v>
      </c>
      <c r="D102" s="38"/>
      <c r="E102" s="38"/>
      <c r="F102" s="38"/>
      <c r="G102" s="21"/>
      <c r="H102" s="21"/>
      <c r="I102" s="38"/>
      <c r="J102" s="38"/>
      <c r="K102" s="38"/>
      <c r="L102" s="92" t="str">
        <f>79.5+6761+(1000*2.36)+800</f>
        <v>10,000.50</v>
      </c>
      <c r="M102" s="40">
        <v>1450.0</v>
      </c>
      <c r="N102" s="40">
        <v>1450.0</v>
      </c>
      <c r="O102" s="40">
        <v>1450.0</v>
      </c>
      <c r="P102" s="90" t="str">
        <f t="shared" ref="P102:P115" si="13">SUM(D102:O102)</f>
        <v>14,350.50</v>
      </c>
    </row>
    <row r="103" ht="11.25" customHeight="1">
      <c r="A103" s="23"/>
      <c r="B103" s="18"/>
      <c r="C103" s="19" t="s">
        <v>102</v>
      </c>
      <c r="D103" s="40">
        <v>50.0</v>
      </c>
      <c r="E103" s="38" t="str">
        <f>12+12</f>
        <v>24.00</v>
      </c>
      <c r="F103" s="40">
        <v>40.0</v>
      </c>
      <c r="G103" s="26">
        <v>40.0</v>
      </c>
      <c r="H103" s="26">
        <v>50.0</v>
      </c>
      <c r="I103" s="38" t="str">
        <f>46</f>
        <v>46.00</v>
      </c>
      <c r="J103" s="38"/>
      <c r="K103" s="40">
        <v>50.0</v>
      </c>
      <c r="L103" s="38"/>
      <c r="M103" s="38"/>
      <c r="N103" s="40">
        <v>50.0</v>
      </c>
      <c r="O103" s="40">
        <v>50.0</v>
      </c>
      <c r="P103" s="90" t="str">
        <f t="shared" si="13"/>
        <v>400.00</v>
      </c>
    </row>
    <row r="104" ht="11.25" customHeight="1">
      <c r="A104" s="23"/>
      <c r="B104" s="18"/>
      <c r="C104" s="19" t="s">
        <v>103</v>
      </c>
      <c r="D104" s="38" t="str">
        <f>235.95+13.5</f>
        <v>249.45</v>
      </c>
      <c r="E104" s="38" t="str">
        <f>133.6+50+15+15+18.5+82.6</f>
        <v>314.70</v>
      </c>
      <c r="F104" s="38" t="str">
        <f>42+16.14+40+58.1+115.8+115</f>
        <v>387.04</v>
      </c>
      <c r="G104" s="21" t="str">
        <f>95.52+41</f>
        <v>136.52</v>
      </c>
      <c r="H104" s="21" t="str">
        <f>30.72+108.22+41.3+96.61+75+184+212+27+16.4+29+41.3</f>
        <v>861.55</v>
      </c>
      <c r="I104" s="92" t="str">
        <f>73.6+124.52+124.96+20+108.92+90.24+84.6+26+37.9+47.5</f>
        <v>738.24</v>
      </c>
      <c r="J104" s="38" t="str">
        <f>20.8+75.24+44.5+72.49+70.6+138.6+86.35+78+37</f>
        <v>623.58</v>
      </c>
      <c r="K104" s="38" t="str">
        <f>55+90.92+141.46+91+51.92+79+43.9+60.95</f>
        <v>614.15</v>
      </c>
      <c r="L104" s="38" t="str">
        <f>59.9+39.7</f>
        <v>99.60</v>
      </c>
      <c r="M104" s="38" t="str">
        <f>32.5+18+34+13.68+22</f>
        <v>120.18</v>
      </c>
      <c r="N104" s="38" t="str">
        <f>140.7+70.5+49.9+103+93+15+18+22</f>
        <v>512.10</v>
      </c>
      <c r="O104" s="92" t="str">
        <f>15.39+79+90+130+121.55+185.51+53.5+120.75+77.15+43.5+57+24.45+57+22</f>
        <v>1,076.80</v>
      </c>
      <c r="P104" s="90" t="str">
        <f t="shared" si="13"/>
        <v>5,733.91</v>
      </c>
    </row>
    <row r="105" ht="11.25" customHeight="1">
      <c r="A105" s="23"/>
      <c r="B105" s="18"/>
      <c r="C105" s="19" t="s">
        <v>104</v>
      </c>
      <c r="D105" s="38"/>
      <c r="E105" s="38"/>
      <c r="F105" s="38"/>
      <c r="G105" s="21"/>
      <c r="H105" s="21"/>
      <c r="I105" s="38"/>
      <c r="J105" s="38"/>
      <c r="K105" s="38"/>
      <c r="L105" s="38"/>
      <c r="M105" s="38"/>
      <c r="N105" s="38"/>
      <c r="O105" s="38"/>
      <c r="P105" s="90" t="str">
        <f t="shared" si="13"/>
        <v>0.00</v>
      </c>
    </row>
    <row r="106" ht="11.25" customHeight="1">
      <c r="A106" s="23"/>
      <c r="B106" s="18"/>
      <c r="C106" s="18"/>
      <c r="D106" s="38"/>
      <c r="E106" s="38"/>
      <c r="F106" s="38"/>
      <c r="G106" s="21"/>
      <c r="H106" s="21"/>
      <c r="I106" s="38"/>
      <c r="J106" s="38"/>
      <c r="K106" s="38"/>
      <c r="L106" s="38"/>
      <c r="M106" s="38"/>
      <c r="N106" s="38"/>
      <c r="O106" s="38"/>
      <c r="P106" s="90" t="str">
        <f t="shared" si="13"/>
        <v>0.00</v>
      </c>
    </row>
    <row r="107" ht="11.25" customHeight="1">
      <c r="A107" s="23"/>
      <c r="B107" s="19" t="s">
        <v>50</v>
      </c>
      <c r="C107" s="19" t="s">
        <v>105</v>
      </c>
      <c r="D107" s="38"/>
      <c r="E107" s="38"/>
      <c r="F107" s="38"/>
      <c r="G107" s="21"/>
      <c r="H107" s="21"/>
      <c r="I107" s="38"/>
      <c r="J107" s="38"/>
      <c r="K107" s="38"/>
      <c r="L107" s="38"/>
      <c r="M107" s="38" t="str">
        <f t="shared" ref="M107:N107" si="14">200</f>
        <v>200.00</v>
      </c>
      <c r="N107" s="38" t="str">
        <f t="shared" si="14"/>
        <v>200.00</v>
      </c>
      <c r="O107" s="38"/>
      <c r="P107" s="90" t="str">
        <f t="shared" si="13"/>
        <v>400.00</v>
      </c>
    </row>
    <row r="108" ht="11.25" customHeight="1">
      <c r="A108" s="23"/>
      <c r="B108" s="18"/>
      <c r="C108" s="18"/>
      <c r="D108" s="38"/>
      <c r="E108" s="38"/>
      <c r="F108" s="38"/>
      <c r="G108" s="21"/>
      <c r="H108" s="21"/>
      <c r="I108" s="38"/>
      <c r="J108" s="38"/>
      <c r="K108" s="38"/>
      <c r="L108" s="38"/>
      <c r="M108" s="38"/>
      <c r="N108" s="38"/>
      <c r="O108" s="38"/>
      <c r="P108" s="90" t="str">
        <f t="shared" si="13"/>
        <v>0.00</v>
      </c>
    </row>
    <row r="109" ht="11.25" customHeight="1">
      <c r="A109" s="23"/>
      <c r="B109" s="19" t="s">
        <v>106</v>
      </c>
      <c r="C109" s="19" t="s">
        <v>107</v>
      </c>
      <c r="D109" s="38" t="str">
        <f>559.97+119.97+249.2+201</f>
        <v>1,130.14</v>
      </c>
      <c r="E109" s="38" t="str">
        <f>198+30+75+299</f>
        <v>602.00</v>
      </c>
      <c r="F109" s="38" t="str">
        <f>62.4+268</f>
        <v>330.40</v>
      </c>
      <c r="G109" s="21"/>
      <c r="H109" s="21" t="str">
        <f>45.8+216+239+74.85</f>
        <v>575.65</v>
      </c>
      <c r="I109" s="38" t="str">
        <f>99</f>
        <v>99.00</v>
      </c>
      <c r="J109" s="40">
        <v>150.0</v>
      </c>
      <c r="K109" s="38" t="str">
        <f>20.45+10.46+15.44+55.8+99.9</f>
        <v>202.05</v>
      </c>
      <c r="L109" s="38" t="str">
        <f>66.8</f>
        <v>66.80</v>
      </c>
      <c r="M109" s="38"/>
      <c r="N109" s="38"/>
      <c r="O109" s="38" t="str">
        <f>119.9</f>
        <v>119.90</v>
      </c>
      <c r="P109" s="90" t="str">
        <f t="shared" si="13"/>
        <v>3,275.94</v>
      </c>
    </row>
    <row r="110" ht="11.25" customHeight="1">
      <c r="A110" s="23"/>
      <c r="B110" s="18"/>
      <c r="C110" s="19" t="s">
        <v>108</v>
      </c>
      <c r="D110" s="38"/>
      <c r="E110" s="38"/>
      <c r="F110" s="38"/>
      <c r="G110" s="21"/>
      <c r="H110" s="21"/>
      <c r="I110" s="38"/>
      <c r="J110" s="38"/>
      <c r="K110" s="38"/>
      <c r="L110" s="38"/>
      <c r="M110" s="38"/>
      <c r="N110" s="38"/>
      <c r="O110" s="38"/>
      <c r="P110" s="90" t="str">
        <f t="shared" si="13"/>
        <v>0.00</v>
      </c>
    </row>
    <row r="111" ht="11.25" customHeight="1">
      <c r="A111" s="23"/>
      <c r="B111" s="18"/>
      <c r="C111" s="19" t="s">
        <v>109</v>
      </c>
      <c r="D111" s="38"/>
      <c r="E111" s="38" t="str">
        <f>189.69</f>
        <v>189.69</v>
      </c>
      <c r="F111" s="38"/>
      <c r="G111" s="21"/>
      <c r="H111" s="21"/>
      <c r="I111" s="38"/>
      <c r="J111" s="38"/>
      <c r="K111" s="38"/>
      <c r="L111" s="38"/>
      <c r="M111" s="38"/>
      <c r="N111" s="38"/>
      <c r="O111" s="38"/>
      <c r="P111" s="90" t="str">
        <f t="shared" si="13"/>
        <v>189.69</v>
      </c>
    </row>
    <row r="112" ht="11.25" customHeight="1">
      <c r="A112" s="23"/>
      <c r="B112" s="18"/>
      <c r="C112" s="18"/>
      <c r="D112" s="38"/>
      <c r="E112" s="38"/>
      <c r="F112" s="38"/>
      <c r="G112" s="21"/>
      <c r="H112" s="21"/>
      <c r="I112" s="38"/>
      <c r="J112" s="38"/>
      <c r="K112" s="38"/>
      <c r="L112" s="38"/>
      <c r="M112" s="38"/>
      <c r="N112" s="38"/>
      <c r="O112" s="38"/>
      <c r="P112" s="90" t="str">
        <f t="shared" si="13"/>
        <v>0.00</v>
      </c>
    </row>
    <row r="113" ht="11.25" customHeight="1">
      <c r="A113" s="23"/>
      <c r="B113" s="19" t="s">
        <v>57</v>
      </c>
      <c r="C113" s="19" t="s">
        <v>26</v>
      </c>
      <c r="D113" s="40">
        <v>90.0</v>
      </c>
      <c r="E113" s="38" t="str">
        <f>79+38</f>
        <v>117.00</v>
      </c>
      <c r="F113" s="38" t="str">
        <f>169.9+49.9+89+59.9</f>
        <v>368.70</v>
      </c>
      <c r="G113" s="21" t="str">
        <f>60</f>
        <v>60.00</v>
      </c>
      <c r="H113" s="21" t="str">
        <f>237+39.9+59.9</f>
        <v>336.80</v>
      </c>
      <c r="I113" s="38"/>
      <c r="J113" s="38" t="str">
        <f>46.61+53.98</f>
        <v>100.59</v>
      </c>
      <c r="K113" s="38" t="str">
        <f>50+30.9+9.8+139</f>
        <v>229.70</v>
      </c>
      <c r="L113" s="38"/>
      <c r="M113" s="38"/>
      <c r="N113" s="38" t="str">
        <f>89.9+49.9</f>
        <v>139.80</v>
      </c>
      <c r="O113" s="38"/>
      <c r="P113" s="90" t="str">
        <f t="shared" si="13"/>
        <v>1,442.59</v>
      </c>
    </row>
    <row r="114" ht="11.25" customHeight="1">
      <c r="A114" s="23"/>
      <c r="B114" s="18"/>
      <c r="C114" s="19" t="s">
        <v>57</v>
      </c>
      <c r="D114" s="40">
        <v>802.5</v>
      </c>
      <c r="E114" s="38" t="str">
        <f>26.38</f>
        <v>26.38</v>
      </c>
      <c r="F114" s="38" t="str">
        <f>5.7+15+100</f>
        <v>120.70</v>
      </c>
      <c r="G114" s="26">
        <v>100.0</v>
      </c>
      <c r="H114" s="21" t="str">
        <f>2.9+40.01+76.8+220+198.27+120+104.89+163.13+59.6+29.44+59.71+136+150</f>
        <v>1,360.75</v>
      </c>
      <c r="I114" s="38" t="str">
        <f>8.2+19.9+198.1+111.17</f>
        <v>337.37</v>
      </c>
      <c r="J114" s="38" t="str">
        <f>400+(160*2.4)</f>
        <v>784.00</v>
      </c>
      <c r="K114" s="38"/>
      <c r="L114" s="38"/>
      <c r="M114" s="38"/>
      <c r="N114" s="38" t="str">
        <f>22.6</f>
        <v>22.60</v>
      </c>
      <c r="O114" s="38" t="str">
        <f>17.5</f>
        <v>17.50</v>
      </c>
      <c r="P114" s="90" t="str">
        <f t="shared" si="13"/>
        <v>3,571.80</v>
      </c>
    </row>
    <row r="115" ht="11.25" customHeight="1">
      <c r="A115" s="27"/>
      <c r="B115" s="18"/>
      <c r="C115" s="18"/>
      <c r="D115" s="21"/>
      <c r="E115" s="21"/>
      <c r="F115" s="38"/>
      <c r="G115" s="21"/>
      <c r="H115" s="21"/>
      <c r="I115" s="21"/>
      <c r="J115" s="21"/>
      <c r="K115" s="21"/>
      <c r="L115" s="21"/>
      <c r="M115" s="21"/>
      <c r="N115" s="21"/>
      <c r="O115" s="21"/>
      <c r="P115" s="90" t="str">
        <f t="shared" si="13"/>
        <v>0.00</v>
      </c>
    </row>
    <row r="116" ht="11.25" customHeight="1">
      <c r="A116" s="56"/>
      <c r="B116" s="28"/>
      <c r="C116" s="29" t="s">
        <v>17</v>
      </c>
      <c r="D116" s="30" t="str">
        <f t="shared" ref="D116:P116" si="15">SUM(D102:D115)</f>
        <v>2,322.09</v>
      </c>
      <c r="E116" s="30" t="str">
        <f t="shared" si="15"/>
        <v>1,273.77</v>
      </c>
      <c r="F116" s="30" t="str">
        <f t="shared" si="15"/>
        <v>1,246.84</v>
      </c>
      <c r="G116" s="30" t="str">
        <f t="shared" si="15"/>
        <v>336.52</v>
      </c>
      <c r="H116" s="30" t="str">
        <f t="shared" si="15"/>
        <v>3,184.75</v>
      </c>
      <c r="I116" s="30" t="str">
        <f t="shared" si="15"/>
        <v>1,220.61</v>
      </c>
      <c r="J116" s="30" t="str">
        <f t="shared" si="15"/>
        <v>1,658.17</v>
      </c>
      <c r="K116" s="30" t="str">
        <f t="shared" si="15"/>
        <v>1,095.90</v>
      </c>
      <c r="L116" s="30" t="str">
        <f t="shared" si="15"/>
        <v>10,166.90</v>
      </c>
      <c r="M116" s="30" t="str">
        <f t="shared" si="15"/>
        <v>1,770.18</v>
      </c>
      <c r="N116" s="30" t="str">
        <f t="shared" si="15"/>
        <v>2,374.50</v>
      </c>
      <c r="O116" s="30" t="str">
        <f t="shared" si="15"/>
        <v>2,714.20</v>
      </c>
      <c r="P116" s="90" t="str">
        <f t="shared" si="15"/>
        <v>29,364.43</v>
      </c>
    </row>
    <row r="117" ht="11.25" customHeight="1">
      <c r="A117" s="56"/>
      <c r="B117" s="28"/>
      <c r="C117" s="29" t="s">
        <v>60</v>
      </c>
      <c r="D117" s="42" t="str">
        <f t="shared" ref="D117:O117" si="16">D116/D12</f>
        <v>26%</v>
      </c>
      <c r="E117" s="42" t="str">
        <f t="shared" si="16"/>
        <v>15%</v>
      </c>
      <c r="F117" s="42" t="str">
        <f t="shared" si="16"/>
        <v>15%</v>
      </c>
      <c r="G117" s="42" t="str">
        <f t="shared" si="16"/>
        <v>4%</v>
      </c>
      <c r="H117" s="42" t="str">
        <f t="shared" si="16"/>
        <v>37%</v>
      </c>
      <c r="I117" s="42" t="str">
        <f t="shared" si="16"/>
        <v>14%</v>
      </c>
      <c r="J117" s="42" t="str">
        <f t="shared" si="16"/>
        <v>20%</v>
      </c>
      <c r="K117" s="42" t="str">
        <f t="shared" si="16"/>
        <v>13%</v>
      </c>
      <c r="L117" s="42" t="str">
        <f t="shared" si="16"/>
        <v>70%</v>
      </c>
      <c r="M117" s="42" t="str">
        <f t="shared" si="16"/>
        <v>25%</v>
      </c>
      <c r="N117" s="42" t="str">
        <f t="shared" si="16"/>
        <v>32%</v>
      </c>
      <c r="O117" s="42" t="str">
        <f t="shared" si="16"/>
        <v>34%</v>
      </c>
      <c r="P117" s="94" t="str">
        <f>P116*100/P12</f>
        <v>28</v>
      </c>
    </row>
    <row r="118" ht="11.25" customHeight="1">
      <c r="A118" s="18"/>
      <c r="B118" s="18"/>
      <c r="C118" s="18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90"/>
    </row>
    <row r="119" ht="12.0" customHeight="1">
      <c r="A119" s="18"/>
      <c r="B119" s="18"/>
      <c r="C119" s="18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90"/>
    </row>
    <row r="120" ht="12.0" customHeight="1">
      <c r="A120" s="8" t="s">
        <v>110</v>
      </c>
      <c r="B120" s="60"/>
      <c r="C120" s="60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3"/>
    </row>
    <row r="121" ht="13.5" customHeight="1">
      <c r="A121" s="29" t="s">
        <v>111</v>
      </c>
      <c r="B121" s="64"/>
      <c r="C121" s="65" t="s">
        <v>18</v>
      </c>
      <c r="D121" s="66" t="str">
        <f t="shared" ref="D121:P121" si="17">D12</f>
        <v>8,922.34</v>
      </c>
      <c r="E121" s="66" t="str">
        <f t="shared" si="17"/>
        <v>8,533.52</v>
      </c>
      <c r="F121" s="66" t="str">
        <f t="shared" si="17"/>
        <v>8,311.84</v>
      </c>
      <c r="G121" s="66" t="str">
        <f t="shared" si="17"/>
        <v>9,162.03</v>
      </c>
      <c r="H121" s="66" t="str">
        <f t="shared" si="17"/>
        <v>8,538.26</v>
      </c>
      <c r="I121" s="66" t="str">
        <f t="shared" si="17"/>
        <v>8,817.74</v>
      </c>
      <c r="J121" s="66" t="str">
        <f t="shared" si="17"/>
        <v>8,323.22</v>
      </c>
      <c r="K121" s="66" t="str">
        <f t="shared" si="17"/>
        <v>8,568.48</v>
      </c>
      <c r="L121" s="66" t="str">
        <f t="shared" si="17"/>
        <v>14,572.22</v>
      </c>
      <c r="M121" s="66" t="str">
        <f t="shared" si="17"/>
        <v>7,181.04</v>
      </c>
      <c r="N121" s="66" t="str">
        <f t="shared" si="17"/>
        <v>7,381.82</v>
      </c>
      <c r="O121" s="66" t="str">
        <f t="shared" si="17"/>
        <v>8,070.00</v>
      </c>
      <c r="P121" s="66" t="str">
        <f t="shared" si="17"/>
        <v>106,382.51</v>
      </c>
    </row>
    <row r="122" ht="12.0" customHeight="1">
      <c r="A122" s="68" t="s">
        <v>112</v>
      </c>
      <c r="B122" s="69"/>
      <c r="C122" s="70" t="s">
        <v>113</v>
      </c>
      <c r="D122" s="71" t="str">
        <f t="shared" ref="D122:P122" si="18">D51</f>
        <v>2,734.80</v>
      </c>
      <c r="E122" s="71" t="str">
        <f t="shared" si="18"/>
        <v>2,961.15</v>
      </c>
      <c r="F122" s="71" t="str">
        <f t="shared" si="18"/>
        <v>2,959.64</v>
      </c>
      <c r="G122" s="71" t="str">
        <f t="shared" si="18"/>
        <v>2,790.64</v>
      </c>
      <c r="H122" s="71" t="str">
        <f t="shared" si="18"/>
        <v>3,509.54</v>
      </c>
      <c r="I122" s="71" t="str">
        <f t="shared" si="18"/>
        <v>3,056.09</v>
      </c>
      <c r="J122" s="71" t="str">
        <f t="shared" si="18"/>
        <v>2,915.38</v>
      </c>
      <c r="K122" s="71" t="str">
        <f t="shared" si="18"/>
        <v>2,900.75</v>
      </c>
      <c r="L122" s="71" t="str">
        <f t="shared" si="18"/>
        <v>2,985.16</v>
      </c>
      <c r="M122" s="71" t="str">
        <f t="shared" si="18"/>
        <v>3,187.06</v>
      </c>
      <c r="N122" s="71" t="str">
        <f t="shared" si="18"/>
        <v>3,406.62</v>
      </c>
      <c r="O122" s="71" t="str">
        <f t="shared" si="18"/>
        <v>3,024.02</v>
      </c>
      <c r="P122" s="66" t="str">
        <f t="shared" si="18"/>
        <v>36,430.85</v>
      </c>
    </row>
    <row r="123" ht="12.0" customHeight="1">
      <c r="A123" s="23"/>
      <c r="B123" s="69"/>
      <c r="C123" s="70" t="s">
        <v>114</v>
      </c>
      <c r="D123" s="71" t="str">
        <f t="shared" ref="D123:P123" si="19">D84</f>
        <v>3,783.17</v>
      </c>
      <c r="E123" s="71" t="str">
        <f t="shared" si="19"/>
        <v>3,707.10</v>
      </c>
      <c r="F123" s="71" t="str">
        <f t="shared" si="19"/>
        <v>3,523.37</v>
      </c>
      <c r="G123" s="71" t="str">
        <f t="shared" si="19"/>
        <v>2,037.89</v>
      </c>
      <c r="H123" s="71" t="str">
        <f t="shared" si="19"/>
        <v>2,724.77</v>
      </c>
      <c r="I123" s="71" t="str">
        <f t="shared" si="19"/>
        <v>3,946.93</v>
      </c>
      <c r="J123" s="71" t="str">
        <f t="shared" si="19"/>
        <v>4,169.44</v>
      </c>
      <c r="K123" s="71" t="str">
        <f t="shared" si="19"/>
        <v>3,066.68</v>
      </c>
      <c r="L123" s="71" t="str">
        <f t="shared" si="19"/>
        <v>1,152.17</v>
      </c>
      <c r="M123" s="71" t="str">
        <f t="shared" si="19"/>
        <v>1,428.54</v>
      </c>
      <c r="N123" s="71" t="str">
        <f t="shared" si="19"/>
        <v>2,894.43</v>
      </c>
      <c r="O123" s="71" t="str">
        <f t="shared" si="19"/>
        <v>4,705.52</v>
      </c>
      <c r="P123" s="66" t="str">
        <f t="shared" si="19"/>
        <v>37,140.01</v>
      </c>
    </row>
    <row r="124" ht="12.0" customHeight="1">
      <c r="A124" s="23"/>
      <c r="B124" s="69"/>
      <c r="C124" s="70" t="s">
        <v>115</v>
      </c>
      <c r="D124" s="71" t="str">
        <f t="shared" ref="D124:P124" si="20">D98</f>
        <v>0.00</v>
      </c>
      <c r="E124" s="71" t="str">
        <f t="shared" si="20"/>
        <v>778.87</v>
      </c>
      <c r="F124" s="71" t="str">
        <f t="shared" si="20"/>
        <v>135.13</v>
      </c>
      <c r="G124" s="71" t="str">
        <f t="shared" si="20"/>
        <v>483.29</v>
      </c>
      <c r="H124" s="71" t="str">
        <f t="shared" si="20"/>
        <v>250.00</v>
      </c>
      <c r="I124" s="71" t="str">
        <f t="shared" si="20"/>
        <v>160.00</v>
      </c>
      <c r="J124" s="71" t="str">
        <f t="shared" si="20"/>
        <v>0.00</v>
      </c>
      <c r="K124" s="71" t="str">
        <f t="shared" si="20"/>
        <v>457.00</v>
      </c>
      <c r="L124" s="71" t="str">
        <f t="shared" si="20"/>
        <v>0.00</v>
      </c>
      <c r="M124" s="71" t="str">
        <f t="shared" si="20"/>
        <v>120.00</v>
      </c>
      <c r="N124" s="71" t="str">
        <f t="shared" si="20"/>
        <v>29.99</v>
      </c>
      <c r="O124" s="71" t="str">
        <f t="shared" si="20"/>
        <v>548.67</v>
      </c>
      <c r="P124" s="66" t="str">
        <f t="shared" si="20"/>
        <v>2,962.95</v>
      </c>
    </row>
    <row r="125" ht="12.0" customHeight="1">
      <c r="A125" s="23"/>
      <c r="B125" s="69"/>
      <c r="C125" s="70" t="s">
        <v>116</v>
      </c>
      <c r="D125" s="71" t="str">
        <f t="shared" ref="D125:P125" si="21">D116</f>
        <v>2,322.09</v>
      </c>
      <c r="E125" s="71" t="str">
        <f t="shared" si="21"/>
        <v>1,273.77</v>
      </c>
      <c r="F125" s="71" t="str">
        <f t="shared" si="21"/>
        <v>1,246.84</v>
      </c>
      <c r="G125" s="71" t="str">
        <f t="shared" si="21"/>
        <v>336.52</v>
      </c>
      <c r="H125" s="71" t="str">
        <f t="shared" si="21"/>
        <v>3,184.75</v>
      </c>
      <c r="I125" s="71" t="str">
        <f t="shared" si="21"/>
        <v>1,220.61</v>
      </c>
      <c r="J125" s="71" t="str">
        <f t="shared" si="21"/>
        <v>1,658.17</v>
      </c>
      <c r="K125" s="71" t="str">
        <f t="shared" si="21"/>
        <v>1,095.90</v>
      </c>
      <c r="L125" s="71" t="str">
        <f t="shared" si="21"/>
        <v>10,166.90</v>
      </c>
      <c r="M125" s="71" t="str">
        <f t="shared" si="21"/>
        <v>1,770.18</v>
      </c>
      <c r="N125" s="71" t="str">
        <f t="shared" si="21"/>
        <v>2,374.50</v>
      </c>
      <c r="O125" s="71" t="str">
        <f t="shared" si="21"/>
        <v>2,714.20</v>
      </c>
      <c r="P125" s="66" t="str">
        <f t="shared" si="21"/>
        <v>29,364.43</v>
      </c>
    </row>
    <row r="126" ht="12.0" customHeight="1">
      <c r="A126" s="23"/>
      <c r="B126" s="69"/>
      <c r="C126" s="69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66"/>
    </row>
    <row r="127" ht="12.0" customHeight="1">
      <c r="A127" s="23"/>
      <c r="B127" s="69"/>
      <c r="C127" s="70" t="s">
        <v>110</v>
      </c>
      <c r="D127" s="66" t="str">
        <f t="shared" ref="D127:P127" si="22">D121-(SUM(D122:D125))</f>
        <v>82.28</v>
      </c>
      <c r="E127" s="66" t="str">
        <f t="shared" si="22"/>
        <v>-187.37</v>
      </c>
      <c r="F127" s="66" t="str">
        <f t="shared" si="22"/>
        <v>446.86</v>
      </c>
      <c r="G127" s="66" t="str">
        <f t="shared" si="22"/>
        <v>3,513.69</v>
      </c>
      <c r="H127" s="66" t="str">
        <f t="shared" si="22"/>
        <v>-1,130.80</v>
      </c>
      <c r="I127" s="66" t="str">
        <f t="shared" si="22"/>
        <v>434.11</v>
      </c>
      <c r="J127" s="66" t="str">
        <f t="shared" si="22"/>
        <v>-419.77</v>
      </c>
      <c r="K127" s="66" t="str">
        <f t="shared" si="22"/>
        <v>1,048.15</v>
      </c>
      <c r="L127" s="66" t="str">
        <f t="shared" si="22"/>
        <v>267.99</v>
      </c>
      <c r="M127" s="66" t="str">
        <f t="shared" si="22"/>
        <v>675.26</v>
      </c>
      <c r="N127" s="66" t="str">
        <f t="shared" si="22"/>
        <v>-1,323.72</v>
      </c>
      <c r="O127" s="66" t="str">
        <f t="shared" si="22"/>
        <v>-2,922.41</v>
      </c>
      <c r="P127" s="66" t="str">
        <f t="shared" si="22"/>
        <v>484.27</v>
      </c>
    </row>
    <row r="128" ht="11.25" customHeight="1">
      <c r="A128" s="23"/>
      <c r="B128" s="18"/>
      <c r="C128" s="19" t="s">
        <v>60</v>
      </c>
      <c r="D128" s="88" t="str">
        <f t="shared" ref="D128:P128" si="23">D127*100/D12</f>
        <v>1</v>
      </c>
      <c r="E128" s="88" t="str">
        <f t="shared" si="23"/>
        <v>-2</v>
      </c>
      <c r="F128" s="88" t="str">
        <f t="shared" si="23"/>
        <v>5</v>
      </c>
      <c r="G128" s="88" t="str">
        <f t="shared" si="23"/>
        <v>38</v>
      </c>
      <c r="H128" s="88" t="str">
        <f t="shared" si="23"/>
        <v>-13</v>
      </c>
      <c r="I128" s="88" t="str">
        <f t="shared" si="23"/>
        <v>5</v>
      </c>
      <c r="J128" s="88" t="str">
        <f t="shared" si="23"/>
        <v>-5</v>
      </c>
      <c r="K128" s="88" t="str">
        <f t="shared" si="23"/>
        <v>12</v>
      </c>
      <c r="L128" s="88" t="str">
        <f t="shared" si="23"/>
        <v>2</v>
      </c>
      <c r="M128" s="88" t="str">
        <f t="shared" si="23"/>
        <v>9</v>
      </c>
      <c r="N128" s="88" t="str">
        <f t="shared" si="23"/>
        <v>-18</v>
      </c>
      <c r="O128" s="88" t="str">
        <f t="shared" si="23"/>
        <v>-36</v>
      </c>
      <c r="P128" s="96" t="str">
        <f t="shared" si="23"/>
        <v>0</v>
      </c>
    </row>
    <row r="129" ht="11.25" customHeight="1">
      <c r="A129" s="23"/>
      <c r="B129" s="18"/>
      <c r="C129" s="18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97"/>
    </row>
    <row r="130" ht="11.25" customHeight="1">
      <c r="A130" s="23"/>
      <c r="B130" s="18"/>
      <c r="C130" s="19" t="s">
        <v>117</v>
      </c>
      <c r="D130" s="98"/>
      <c r="E130" s="76"/>
      <c r="F130" s="76"/>
      <c r="G130" s="76"/>
      <c r="H130" s="76"/>
      <c r="I130" s="76"/>
      <c r="J130" s="98"/>
      <c r="K130" s="98"/>
      <c r="L130" s="98"/>
      <c r="M130" s="98"/>
      <c r="N130" s="98"/>
      <c r="O130" s="98"/>
      <c r="P130" s="77"/>
    </row>
    <row r="131" ht="11.25" customHeight="1">
      <c r="A131" s="23"/>
      <c r="B131" s="18"/>
      <c r="C131" s="19" t="s">
        <v>60</v>
      </c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97"/>
    </row>
    <row r="132" ht="11.25" customHeight="1">
      <c r="A132" s="23"/>
      <c r="B132" s="18"/>
      <c r="C132" s="18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97"/>
    </row>
    <row r="133" ht="11.25" customHeight="1">
      <c r="A133" s="27"/>
      <c r="B133" s="18"/>
      <c r="C133" s="19" t="s">
        <v>118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9"/>
    </row>
    <row r="134" ht="11.25" customHeight="1">
      <c r="A134" s="18"/>
      <c r="B134" s="18"/>
      <c r="C134" s="19" t="s">
        <v>60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97"/>
    </row>
  </sheetData>
  <mergeCells count="6">
    <mergeCell ref="A4:A11"/>
    <mergeCell ref="A19:A50"/>
    <mergeCell ref="A55:A83"/>
    <mergeCell ref="A88:A97"/>
    <mergeCell ref="A102:A115"/>
    <mergeCell ref="A122:A13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5" width="17.29"/>
  </cols>
  <sheetData>
    <row r="1">
      <c r="A1" s="3" t="s">
        <v>1</v>
      </c>
      <c r="B1" s="3" t="s">
        <v>2</v>
      </c>
      <c r="C1" s="3" t="s">
        <v>3</v>
      </c>
      <c r="D1" s="4" t="s">
        <v>16</v>
      </c>
      <c r="E1" s="4" t="s">
        <v>0</v>
      </c>
    </row>
    <row r="2">
      <c r="A2" s="8" t="s">
        <v>18</v>
      </c>
      <c r="B2" s="9"/>
      <c r="C2" s="9"/>
      <c r="D2" s="11"/>
      <c r="E2" s="11"/>
    </row>
    <row r="3">
      <c r="A3" s="13" t="s">
        <v>19</v>
      </c>
      <c r="B3" s="14"/>
      <c r="C3" s="14"/>
      <c r="D3" s="16" t="s">
        <v>20</v>
      </c>
      <c r="E3" s="16" t="s">
        <v>20</v>
      </c>
    </row>
    <row r="4">
      <c r="A4" s="17"/>
      <c r="B4" s="18"/>
      <c r="C4" s="19" t="s">
        <v>21</v>
      </c>
      <c r="D4" s="21"/>
      <c r="E4" s="21"/>
    </row>
    <row r="5">
      <c r="A5" s="23"/>
      <c r="B5" s="18"/>
      <c r="C5" s="19" t="s">
        <v>120</v>
      </c>
      <c r="D5" s="26">
        <v>6900.0</v>
      </c>
      <c r="E5" s="26">
        <v>4989.19</v>
      </c>
    </row>
    <row r="6">
      <c r="A6" s="23"/>
      <c r="B6" s="18"/>
      <c r="C6" s="19" t="s">
        <v>121</v>
      </c>
      <c r="D6" s="26">
        <v>1000.0</v>
      </c>
      <c r="E6" s="21" t="str">
        <f>400</f>
        <v>400.00</v>
      </c>
    </row>
    <row r="7">
      <c r="A7" s="23"/>
      <c r="B7" s="18"/>
      <c r="C7" s="18"/>
      <c r="D7" s="21"/>
      <c r="E7" s="21"/>
    </row>
    <row r="8">
      <c r="A8" s="23"/>
      <c r="B8" s="18"/>
      <c r="C8" s="18"/>
      <c r="D8" s="21"/>
      <c r="E8" s="21"/>
    </row>
    <row r="9">
      <c r="A9" s="23"/>
      <c r="B9" s="18"/>
      <c r="C9" s="19" t="s">
        <v>26</v>
      </c>
      <c r="D9" s="21"/>
      <c r="E9" s="21"/>
    </row>
    <row r="10">
      <c r="A10" s="23"/>
      <c r="B10" s="18"/>
      <c r="C10" s="19" t="s">
        <v>122</v>
      </c>
      <c r="D10" s="21"/>
      <c r="E10" s="21"/>
    </row>
    <row r="11">
      <c r="A11" s="27"/>
      <c r="B11" s="18"/>
      <c r="C11" s="18"/>
      <c r="D11" s="21"/>
      <c r="E11" s="21"/>
    </row>
    <row r="12">
      <c r="A12" s="14"/>
      <c r="B12" s="28"/>
      <c r="C12" s="29" t="s">
        <v>17</v>
      </c>
      <c r="D12" s="30" t="str">
        <f t="shared" ref="D12:E12" si="1">SUM(D4:D11)</f>
        <v>7,900.00</v>
      </c>
      <c r="E12" s="30" t="str">
        <f t="shared" si="1"/>
        <v>5,389.19</v>
      </c>
    </row>
    <row r="13">
      <c r="A13" s="91"/>
      <c r="B13" s="18"/>
      <c r="C13" s="18"/>
      <c r="D13" s="21"/>
      <c r="E13" s="21"/>
    </row>
    <row r="14">
      <c r="A14" s="91"/>
      <c r="B14" s="18"/>
      <c r="C14" s="18"/>
      <c r="D14" s="21"/>
      <c r="E14" s="21"/>
    </row>
    <row r="15">
      <c r="A15" s="91"/>
      <c r="B15" s="18"/>
      <c r="C15" s="18"/>
      <c r="D15" s="21"/>
      <c r="E15" s="21"/>
    </row>
    <row r="16">
      <c r="A16" s="18"/>
      <c r="B16" s="18"/>
      <c r="C16" s="18"/>
      <c r="D16" s="21"/>
      <c r="E16" s="21"/>
    </row>
    <row r="17">
      <c r="A17" s="8" t="s">
        <v>29</v>
      </c>
      <c r="B17" s="9"/>
      <c r="C17" s="9"/>
      <c r="D17" s="31"/>
      <c r="E17" s="31"/>
    </row>
    <row r="18">
      <c r="A18" s="33" t="s">
        <v>19</v>
      </c>
      <c r="B18" s="34"/>
      <c r="C18" s="34"/>
      <c r="D18" s="36" t="s">
        <v>20</v>
      </c>
      <c r="E18" s="36" t="s">
        <v>20</v>
      </c>
    </row>
    <row r="19">
      <c r="A19" s="37" t="s">
        <v>30</v>
      </c>
      <c r="B19" s="19" t="s">
        <v>31</v>
      </c>
      <c r="C19" s="19" t="s">
        <v>124</v>
      </c>
      <c r="D19" s="21"/>
      <c r="E19" s="21"/>
    </row>
    <row r="20">
      <c r="A20" s="23"/>
      <c r="B20" s="18"/>
      <c r="C20" s="19" t="s">
        <v>125</v>
      </c>
      <c r="D20" s="21"/>
      <c r="E20" s="21"/>
    </row>
    <row r="21">
      <c r="A21" s="23"/>
      <c r="B21" s="18"/>
      <c r="C21" s="18"/>
      <c r="D21" s="21"/>
      <c r="E21" s="21"/>
    </row>
    <row r="22">
      <c r="A22" s="23"/>
      <c r="B22" s="18"/>
      <c r="C22" s="18"/>
      <c r="D22" s="21"/>
      <c r="E22" s="21"/>
    </row>
    <row r="23">
      <c r="A23" s="23"/>
      <c r="B23" s="18"/>
      <c r="C23" s="18"/>
      <c r="D23" s="21"/>
      <c r="E23" s="21"/>
    </row>
    <row r="24">
      <c r="A24" s="23"/>
      <c r="B24" s="18"/>
      <c r="C24" s="18"/>
      <c r="D24" s="21"/>
      <c r="E24" s="21"/>
    </row>
    <row r="25">
      <c r="A25" s="23"/>
      <c r="B25" s="19" t="s">
        <v>34</v>
      </c>
      <c r="C25" s="19" t="s">
        <v>35</v>
      </c>
      <c r="D25" s="26">
        <v>1608.0</v>
      </c>
      <c r="E25" s="21"/>
    </row>
    <row r="26">
      <c r="A26" s="23"/>
      <c r="B26" s="18"/>
      <c r="C26" s="19" t="s">
        <v>36</v>
      </c>
      <c r="D26" s="82">
        <v>541.59</v>
      </c>
      <c r="E26" s="21"/>
    </row>
    <row r="27">
      <c r="A27" s="23"/>
      <c r="B27" s="18"/>
      <c r="C27" s="19" t="s">
        <v>37</v>
      </c>
      <c r="D27" s="21"/>
      <c r="E27" s="21"/>
    </row>
    <row r="28">
      <c r="A28" s="23"/>
      <c r="B28" s="18"/>
      <c r="C28" s="19" t="s">
        <v>38</v>
      </c>
      <c r="D28" s="21"/>
      <c r="E28" s="21"/>
    </row>
    <row r="29">
      <c r="A29" s="23"/>
      <c r="B29" s="18"/>
      <c r="C29" s="19" t="s">
        <v>39</v>
      </c>
      <c r="D29" s="26">
        <v>130.0</v>
      </c>
      <c r="E29" s="26">
        <v>130.0</v>
      </c>
    </row>
    <row r="30">
      <c r="A30" s="23"/>
      <c r="B30" s="18"/>
      <c r="C30" s="19" t="s">
        <v>40</v>
      </c>
      <c r="D30" s="21"/>
      <c r="E30" s="21"/>
    </row>
    <row r="31">
      <c r="A31" s="23"/>
      <c r="B31" s="18"/>
      <c r="C31" s="18"/>
      <c r="D31" s="21"/>
      <c r="E31" s="21"/>
    </row>
    <row r="32">
      <c r="A32" s="23"/>
      <c r="B32" s="19" t="s">
        <v>41</v>
      </c>
      <c r="C32" s="19" t="s">
        <v>42</v>
      </c>
      <c r="D32" s="21"/>
      <c r="E32" s="21"/>
    </row>
    <row r="33">
      <c r="A33" s="23"/>
      <c r="B33" s="18"/>
      <c r="C33" s="19" t="s">
        <v>43</v>
      </c>
      <c r="D33" s="83">
        <v>193.0</v>
      </c>
      <c r="E33" s="26">
        <v>193.0</v>
      </c>
    </row>
    <row r="34">
      <c r="A34" s="23"/>
      <c r="B34" s="18"/>
      <c r="C34" s="19" t="s">
        <v>44</v>
      </c>
      <c r="D34" s="21"/>
      <c r="E34" s="21"/>
    </row>
    <row r="35">
      <c r="A35" s="23"/>
      <c r="B35" s="18"/>
      <c r="C35" s="19" t="s">
        <v>45</v>
      </c>
      <c r="D35" s="21"/>
      <c r="E35" s="21"/>
    </row>
    <row r="36">
      <c r="A36" s="23"/>
      <c r="B36" s="18"/>
      <c r="C36" s="19" t="s">
        <v>46</v>
      </c>
      <c r="D36" s="21"/>
      <c r="E36" s="21"/>
    </row>
    <row r="37">
      <c r="A37" s="23"/>
      <c r="B37" s="18"/>
      <c r="C37" s="18"/>
      <c r="D37" s="21"/>
      <c r="E37" s="21"/>
    </row>
    <row r="38">
      <c r="A38" s="23"/>
      <c r="B38" s="19" t="s">
        <v>47</v>
      </c>
      <c r="C38" s="19" t="s">
        <v>48</v>
      </c>
      <c r="D38" s="93" t="s">
        <v>139</v>
      </c>
      <c r="E38" s="93" t="s">
        <v>139</v>
      </c>
    </row>
    <row r="39">
      <c r="A39" s="23"/>
      <c r="B39" s="18"/>
      <c r="C39" s="19" t="s">
        <v>49</v>
      </c>
      <c r="D39" s="21"/>
      <c r="E39" s="21"/>
    </row>
    <row r="40">
      <c r="A40" s="23"/>
      <c r="B40" s="18"/>
      <c r="C40" s="18"/>
      <c r="D40" s="21"/>
      <c r="E40" s="21"/>
    </row>
    <row r="41">
      <c r="A41" s="23"/>
      <c r="B41" s="19" t="s">
        <v>50</v>
      </c>
      <c r="C41" s="19" t="s">
        <v>51</v>
      </c>
      <c r="D41" s="21"/>
      <c r="E41" s="21"/>
    </row>
    <row r="42">
      <c r="A42" s="23"/>
      <c r="B42" s="18"/>
      <c r="C42" s="19" t="s">
        <v>52</v>
      </c>
      <c r="D42" s="21"/>
      <c r="E42" s="21"/>
    </row>
    <row r="43">
      <c r="A43" s="23"/>
      <c r="B43" s="18"/>
      <c r="C43" s="19" t="s">
        <v>53</v>
      </c>
      <c r="D43" s="21"/>
      <c r="E43" s="21"/>
    </row>
    <row r="44">
      <c r="A44" s="23"/>
      <c r="B44" s="18"/>
      <c r="C44" s="18"/>
      <c r="D44" s="21"/>
      <c r="E44" s="21"/>
    </row>
    <row r="45">
      <c r="A45" s="23"/>
      <c r="B45" s="19" t="s">
        <v>54</v>
      </c>
      <c r="C45" s="19" t="s">
        <v>55</v>
      </c>
      <c r="D45" s="82">
        <v>133.81</v>
      </c>
      <c r="E45" s="21"/>
    </row>
    <row r="46">
      <c r="A46" s="23"/>
      <c r="B46" s="18"/>
      <c r="C46" s="19" t="s">
        <v>56</v>
      </c>
      <c r="D46" s="21"/>
      <c r="E46" s="21"/>
    </row>
    <row r="47">
      <c r="A47" s="23"/>
      <c r="B47" s="18"/>
      <c r="C47" s="18"/>
      <c r="D47" s="21"/>
      <c r="E47" s="21"/>
    </row>
    <row r="48">
      <c r="A48" s="23"/>
      <c r="B48" s="19" t="s">
        <v>57</v>
      </c>
      <c r="C48" s="19" t="s">
        <v>58</v>
      </c>
      <c r="D48" s="26">
        <v>275.97</v>
      </c>
      <c r="E48" s="26">
        <v>275.97</v>
      </c>
    </row>
    <row r="49">
      <c r="A49" s="23"/>
      <c r="B49" s="18"/>
      <c r="C49" s="19" t="s">
        <v>59</v>
      </c>
      <c r="D49" s="40">
        <v>56.0</v>
      </c>
      <c r="E49" s="40">
        <v>56.0</v>
      </c>
    </row>
    <row r="50">
      <c r="A50" s="27"/>
      <c r="B50" s="18"/>
      <c r="C50" s="18"/>
      <c r="D50" s="21"/>
      <c r="E50" s="21"/>
    </row>
    <row r="51">
      <c r="A51" s="41"/>
      <c r="B51" s="18"/>
      <c r="C51" s="29" t="s">
        <v>17</v>
      </c>
      <c r="D51" s="30" t="str">
        <f t="shared" ref="D51:E51" si="2">SUM(D19:D50)</f>
        <v>2,938.37</v>
      </c>
      <c r="E51" s="30" t="str">
        <f t="shared" si="2"/>
        <v>654.97</v>
      </c>
    </row>
    <row r="52">
      <c r="A52" s="41"/>
      <c r="B52" s="18"/>
      <c r="C52" s="29" t="s">
        <v>60</v>
      </c>
      <c r="D52" s="42" t="str">
        <f t="shared" ref="D52:E52" si="3">D51/D12</f>
        <v>37%</v>
      </c>
      <c r="E52" s="42" t="str">
        <f t="shared" si="3"/>
        <v>12%</v>
      </c>
    </row>
    <row r="53">
      <c r="A53" s="18"/>
      <c r="B53" s="18"/>
      <c r="C53" s="18"/>
      <c r="D53" s="21"/>
      <c r="E53" s="21"/>
    </row>
    <row r="54">
      <c r="A54" s="44" t="s">
        <v>61</v>
      </c>
      <c r="B54" s="45"/>
      <c r="C54" s="45"/>
      <c r="D54" s="47"/>
      <c r="E54" s="47"/>
    </row>
    <row r="55">
      <c r="A55" s="48" t="s">
        <v>62</v>
      </c>
      <c r="B55" s="19" t="s">
        <v>128</v>
      </c>
      <c r="C55" s="19" t="s">
        <v>64</v>
      </c>
      <c r="D55" s="26">
        <v>1000.0</v>
      </c>
      <c r="E55" s="26">
        <v>1000.0</v>
      </c>
    </row>
    <row r="56">
      <c r="A56" s="23"/>
      <c r="B56" s="18"/>
      <c r="C56" s="18"/>
      <c r="D56" s="21"/>
      <c r="E56" s="21"/>
    </row>
    <row r="57">
      <c r="A57" s="23"/>
      <c r="B57" s="19" t="s">
        <v>34</v>
      </c>
      <c r="C57" s="19" t="s">
        <v>65</v>
      </c>
      <c r="D57" s="26">
        <v>146.0</v>
      </c>
      <c r="E57" s="21"/>
    </row>
    <row r="58">
      <c r="A58" s="23"/>
      <c r="B58" s="18"/>
      <c r="C58" s="19" t="s">
        <v>66</v>
      </c>
      <c r="D58" s="21"/>
      <c r="E58" s="21"/>
    </row>
    <row r="59">
      <c r="A59" s="23"/>
      <c r="B59" s="18"/>
      <c r="C59" s="19" t="s">
        <v>67</v>
      </c>
      <c r="D59" s="21"/>
      <c r="E59" s="21"/>
    </row>
    <row r="60">
      <c r="A60" s="23"/>
      <c r="B60" s="18"/>
      <c r="C60" s="19" t="s">
        <v>68</v>
      </c>
      <c r="D60" s="26">
        <v>200.0</v>
      </c>
      <c r="E60" s="82">
        <v>150.0</v>
      </c>
    </row>
    <row r="61">
      <c r="A61" s="23"/>
      <c r="B61" s="18"/>
      <c r="C61" s="19" t="s">
        <v>69</v>
      </c>
      <c r="D61" s="21"/>
      <c r="E61" s="21"/>
    </row>
    <row r="62">
      <c r="A62" s="23"/>
      <c r="B62" s="18"/>
      <c r="C62" s="19" t="s">
        <v>70</v>
      </c>
      <c r="D62" s="21"/>
      <c r="E62" s="21"/>
    </row>
    <row r="63">
      <c r="A63" s="23"/>
      <c r="B63" s="18"/>
      <c r="C63" s="19" t="s">
        <v>71</v>
      </c>
      <c r="D63" s="26">
        <v>137.69</v>
      </c>
      <c r="E63" s="26">
        <v>137.69</v>
      </c>
    </row>
    <row r="64">
      <c r="A64" s="23"/>
      <c r="B64" s="18"/>
      <c r="C64" s="18"/>
      <c r="D64" s="21"/>
      <c r="E64" s="21"/>
    </row>
    <row r="65">
      <c r="A65" s="23"/>
      <c r="B65" s="19" t="s">
        <v>41</v>
      </c>
      <c r="C65" s="19" t="s">
        <v>72</v>
      </c>
      <c r="D65" s="21"/>
      <c r="E65" s="21"/>
    </row>
    <row r="66">
      <c r="A66" s="23"/>
      <c r="B66" s="18"/>
      <c r="C66" s="19" t="s">
        <v>73</v>
      </c>
      <c r="D66" s="21"/>
      <c r="E66" s="21"/>
    </row>
    <row r="67">
      <c r="A67" s="23"/>
      <c r="B67" s="18"/>
      <c r="C67" s="19" t="s">
        <v>130</v>
      </c>
      <c r="D67" s="26">
        <v>200.0</v>
      </c>
      <c r="E67" s="21"/>
    </row>
    <row r="68">
      <c r="A68" s="23"/>
      <c r="B68" s="18"/>
      <c r="C68" s="19" t="s">
        <v>75</v>
      </c>
      <c r="D68" s="26">
        <v>35.0</v>
      </c>
      <c r="E68" s="21"/>
    </row>
    <row r="69">
      <c r="A69" s="23"/>
      <c r="B69" s="18"/>
      <c r="C69" s="18"/>
      <c r="D69" s="21"/>
      <c r="E69" s="21"/>
    </row>
    <row r="70">
      <c r="A70" s="23"/>
      <c r="B70" s="19" t="s">
        <v>76</v>
      </c>
      <c r="C70" s="19" t="s">
        <v>77</v>
      </c>
      <c r="D70" s="26">
        <v>680.0</v>
      </c>
      <c r="E70" s="26">
        <v>50.0</v>
      </c>
    </row>
    <row r="71">
      <c r="A71" s="23"/>
      <c r="B71" s="18"/>
      <c r="C71" s="19" t="s">
        <v>78</v>
      </c>
      <c r="D71" s="26">
        <v>40.0</v>
      </c>
      <c r="E71" s="26">
        <v>20.0</v>
      </c>
    </row>
    <row r="72">
      <c r="A72" s="23"/>
      <c r="B72" s="18"/>
      <c r="C72" s="19" t="s">
        <v>79</v>
      </c>
      <c r="D72" s="26">
        <v>30.0</v>
      </c>
      <c r="E72" s="21"/>
    </row>
    <row r="73">
      <c r="A73" s="23"/>
      <c r="B73" s="18"/>
      <c r="C73" s="19" t="s">
        <v>80</v>
      </c>
      <c r="D73" s="26">
        <v>200.0</v>
      </c>
      <c r="E73" s="26">
        <v>40.0</v>
      </c>
    </row>
    <row r="74">
      <c r="A74" s="23"/>
      <c r="B74" s="18"/>
      <c r="C74" s="18"/>
      <c r="D74" s="21"/>
      <c r="E74" s="21"/>
    </row>
    <row r="75">
      <c r="A75" s="23"/>
      <c r="B75" s="19" t="s">
        <v>47</v>
      </c>
      <c r="C75" s="19" t="s">
        <v>81</v>
      </c>
      <c r="D75" s="26">
        <v>85.0</v>
      </c>
      <c r="E75" s="21"/>
    </row>
    <row r="76">
      <c r="A76" s="23"/>
      <c r="B76" s="18"/>
      <c r="C76" s="19" t="s">
        <v>82</v>
      </c>
      <c r="D76" s="21"/>
      <c r="E76" s="21"/>
    </row>
    <row r="77">
      <c r="A77" s="23"/>
      <c r="B77" s="18"/>
      <c r="C77" s="18"/>
      <c r="D77" s="21"/>
      <c r="E77" s="21"/>
    </row>
    <row r="78">
      <c r="A78" s="23"/>
      <c r="B78" s="19" t="s">
        <v>131</v>
      </c>
      <c r="C78" s="19" t="s">
        <v>84</v>
      </c>
      <c r="D78" s="26">
        <v>200.0</v>
      </c>
      <c r="E78" s="26">
        <v>40.0</v>
      </c>
    </row>
    <row r="79">
      <c r="A79" s="23"/>
      <c r="B79" s="18"/>
      <c r="C79" s="19" t="s">
        <v>85</v>
      </c>
      <c r="D79" s="21"/>
      <c r="E79" s="21"/>
    </row>
    <row r="80">
      <c r="A80" s="23"/>
      <c r="B80" s="18"/>
      <c r="C80" s="19" t="s">
        <v>86</v>
      </c>
      <c r="D80" s="21"/>
      <c r="E80" s="21"/>
    </row>
    <row r="81">
      <c r="A81" s="23"/>
      <c r="B81" s="18"/>
      <c r="C81" s="19" t="s">
        <v>82</v>
      </c>
      <c r="D81" s="21"/>
      <c r="E81" s="21"/>
    </row>
    <row r="82">
      <c r="A82" s="23"/>
      <c r="B82" s="18"/>
      <c r="C82" s="19" t="s">
        <v>87</v>
      </c>
      <c r="D82" s="21"/>
      <c r="E82" s="21"/>
    </row>
    <row r="83">
      <c r="A83" s="27"/>
      <c r="B83" s="18"/>
      <c r="C83" s="18"/>
      <c r="D83" s="21"/>
      <c r="E83" s="21"/>
    </row>
    <row r="84">
      <c r="A84" s="45"/>
      <c r="B84" s="28"/>
      <c r="C84" s="29" t="s">
        <v>17</v>
      </c>
      <c r="D84" s="30" t="str">
        <f t="shared" ref="D84:E84" si="4">SUM(D55:D83)</f>
        <v>2,953.69</v>
      </c>
      <c r="E84" s="30" t="str">
        <f t="shared" si="4"/>
        <v>1,437.69</v>
      </c>
    </row>
    <row r="85">
      <c r="A85" s="45"/>
      <c r="B85" s="28"/>
      <c r="C85" s="29" t="s">
        <v>60</v>
      </c>
      <c r="D85" s="42" t="str">
        <f t="shared" ref="D85:E85" si="5">D84/D12</f>
        <v>37%</v>
      </c>
      <c r="E85" s="42" t="str">
        <f t="shared" si="5"/>
        <v>27%</v>
      </c>
    </row>
    <row r="86">
      <c r="A86" s="18"/>
      <c r="B86" s="18"/>
      <c r="C86" s="18"/>
      <c r="D86" s="21"/>
      <c r="E86" s="21"/>
    </row>
    <row r="87">
      <c r="A87" s="49" t="s">
        <v>88</v>
      </c>
      <c r="B87" s="50"/>
      <c r="C87" s="50"/>
      <c r="D87" s="52"/>
      <c r="E87" s="52"/>
    </row>
    <row r="88">
      <c r="A88" s="53" t="s">
        <v>89</v>
      </c>
      <c r="B88" s="19" t="s">
        <v>47</v>
      </c>
      <c r="C88" s="19" t="s">
        <v>90</v>
      </c>
      <c r="D88" s="21"/>
      <c r="E88" s="21"/>
    </row>
    <row r="89">
      <c r="A89" s="23"/>
      <c r="B89" s="18"/>
      <c r="C89" s="19" t="s">
        <v>91</v>
      </c>
      <c r="D89" s="21"/>
      <c r="E89" s="21"/>
    </row>
    <row r="90">
      <c r="A90" s="23"/>
      <c r="B90" s="18"/>
      <c r="C90" s="19" t="s">
        <v>92</v>
      </c>
      <c r="D90" s="21"/>
      <c r="E90" s="21"/>
    </row>
    <row r="91">
      <c r="A91" s="23"/>
      <c r="B91" s="18"/>
      <c r="C91" s="18"/>
      <c r="D91" s="21"/>
      <c r="E91" s="21"/>
    </row>
    <row r="92">
      <c r="A92" s="23"/>
      <c r="B92" s="19" t="s">
        <v>93</v>
      </c>
      <c r="C92" s="19" t="s">
        <v>94</v>
      </c>
      <c r="D92" s="21"/>
      <c r="E92" s="21"/>
    </row>
    <row r="93">
      <c r="A93" s="23"/>
      <c r="B93" s="18"/>
      <c r="C93" s="19" t="s">
        <v>95</v>
      </c>
      <c r="D93" s="26">
        <v>250.0</v>
      </c>
      <c r="E93" s="21"/>
    </row>
    <row r="94">
      <c r="A94" s="23"/>
      <c r="B94" s="18"/>
      <c r="C94" s="18"/>
      <c r="D94" s="21"/>
      <c r="E94" s="21"/>
    </row>
    <row r="95">
      <c r="A95" s="23"/>
      <c r="B95" s="19" t="s">
        <v>50</v>
      </c>
      <c r="C95" s="19" t="s">
        <v>96</v>
      </c>
      <c r="D95" s="21"/>
      <c r="E95" s="21"/>
    </row>
    <row r="96">
      <c r="A96" s="23"/>
      <c r="B96" s="18"/>
      <c r="C96" s="19" t="s">
        <v>97</v>
      </c>
      <c r="D96" s="21"/>
      <c r="E96" s="21"/>
    </row>
    <row r="97">
      <c r="A97" s="27"/>
      <c r="B97" s="18"/>
      <c r="C97" s="18"/>
      <c r="D97" s="21"/>
      <c r="E97" s="21"/>
    </row>
    <row r="98">
      <c r="A98" s="50"/>
      <c r="B98" s="28"/>
      <c r="C98" s="29" t="s">
        <v>17</v>
      </c>
      <c r="D98" s="30" t="str">
        <f t="shared" ref="D98:E98" si="6">SUM(D88:D97)</f>
        <v>250.00</v>
      </c>
      <c r="E98" s="30" t="str">
        <f t="shared" si="6"/>
        <v>0.00</v>
      </c>
    </row>
    <row r="99">
      <c r="A99" s="50"/>
      <c r="B99" s="28"/>
      <c r="C99" s="29" t="s">
        <v>60</v>
      </c>
      <c r="D99" s="42" t="str">
        <f t="shared" ref="D99:E99" si="7">D98/D12</f>
        <v>3%</v>
      </c>
      <c r="E99" s="42" t="str">
        <f t="shared" si="7"/>
        <v>0%</v>
      </c>
    </row>
    <row r="100">
      <c r="A100" s="18"/>
      <c r="B100" s="18"/>
      <c r="C100" s="18"/>
      <c r="D100" s="21"/>
      <c r="E100" s="21"/>
    </row>
    <row r="101">
      <c r="A101" s="55" t="s">
        <v>98</v>
      </c>
      <c r="B101" s="56"/>
      <c r="C101" s="56"/>
      <c r="D101" s="58"/>
      <c r="E101" s="58"/>
    </row>
    <row r="102">
      <c r="A102" s="59" t="s">
        <v>99</v>
      </c>
      <c r="B102" s="19" t="s">
        <v>100</v>
      </c>
      <c r="C102" s="19" t="s">
        <v>101</v>
      </c>
      <c r="D102" s="21"/>
      <c r="E102" s="82">
        <v>1450.0</v>
      </c>
    </row>
    <row r="103">
      <c r="A103" s="23"/>
      <c r="B103" s="18"/>
      <c r="C103" s="19" t="s">
        <v>140</v>
      </c>
      <c r="D103" s="21"/>
      <c r="E103" s="82">
        <v>70.0</v>
      </c>
    </row>
    <row r="104">
      <c r="A104" s="23"/>
      <c r="B104" s="18"/>
      <c r="C104" s="19" t="s">
        <v>141</v>
      </c>
      <c r="D104" s="21"/>
      <c r="E104" s="82">
        <v>60.0</v>
      </c>
    </row>
    <row r="105">
      <c r="A105" s="23"/>
      <c r="B105" s="18"/>
      <c r="C105" s="19" t="s">
        <v>142</v>
      </c>
      <c r="D105" s="21"/>
      <c r="E105" s="82">
        <v>60.0</v>
      </c>
    </row>
    <row r="106">
      <c r="A106" s="23"/>
      <c r="B106" s="18"/>
      <c r="C106" s="19" t="s">
        <v>143</v>
      </c>
      <c r="D106" s="21"/>
      <c r="E106" s="82">
        <v>45.0</v>
      </c>
    </row>
    <row r="107">
      <c r="A107" s="23"/>
      <c r="B107" s="18"/>
      <c r="C107" s="19" t="s">
        <v>144</v>
      </c>
      <c r="D107" s="21"/>
      <c r="E107" s="99" t="str">
        <f>(149.05+17+50+40+38.68+50.6+122.85+200+20+25+14+20+11.4)</f>
        <v>758.58</v>
      </c>
    </row>
    <row r="108">
      <c r="A108" s="23"/>
      <c r="B108" s="18"/>
      <c r="C108" s="19" t="s">
        <v>145</v>
      </c>
      <c r="D108" s="21"/>
      <c r="E108" s="82">
        <v>200.0</v>
      </c>
    </row>
    <row r="109">
      <c r="A109" s="23"/>
      <c r="B109" s="18"/>
      <c r="C109" s="19" t="s">
        <v>146</v>
      </c>
      <c r="D109" s="21"/>
      <c r="E109" s="82">
        <v>672.0</v>
      </c>
    </row>
    <row r="110">
      <c r="A110" s="23"/>
      <c r="B110" s="18"/>
      <c r="C110" s="18"/>
      <c r="D110" s="21"/>
      <c r="E110" s="38"/>
    </row>
    <row r="111">
      <c r="A111" s="23"/>
      <c r="B111" s="18"/>
      <c r="C111" s="19" t="s">
        <v>102</v>
      </c>
      <c r="D111" s="26">
        <v>50.0</v>
      </c>
      <c r="E111" s="26">
        <v>10.0</v>
      </c>
    </row>
    <row r="112">
      <c r="A112" s="23"/>
      <c r="B112" s="18"/>
      <c r="C112" s="19" t="s">
        <v>103</v>
      </c>
      <c r="D112" s="26">
        <v>300.0</v>
      </c>
      <c r="E112" s="21"/>
    </row>
    <row r="113">
      <c r="A113" s="23"/>
      <c r="B113" s="18"/>
      <c r="C113" s="19" t="s">
        <v>104</v>
      </c>
      <c r="D113" s="21"/>
      <c r="E113" s="21"/>
    </row>
    <row r="114">
      <c r="A114" s="23"/>
      <c r="B114" s="18"/>
      <c r="C114" s="18"/>
      <c r="D114" s="21"/>
      <c r="E114" s="21"/>
    </row>
    <row r="115">
      <c r="A115" s="23"/>
      <c r="B115" s="19" t="s">
        <v>50</v>
      </c>
      <c r="C115" s="19" t="s">
        <v>105</v>
      </c>
      <c r="D115" s="21"/>
      <c r="E115" s="21"/>
    </row>
    <row r="116">
      <c r="A116" s="23"/>
      <c r="B116" s="18"/>
      <c r="C116" s="18"/>
      <c r="D116" s="21"/>
      <c r="E116" s="21"/>
    </row>
    <row r="117">
      <c r="A117" s="23"/>
      <c r="B117" s="19" t="s">
        <v>106</v>
      </c>
      <c r="C117" s="19" t="s">
        <v>107</v>
      </c>
      <c r="D117" s="26">
        <v>200.0</v>
      </c>
      <c r="E117" s="21"/>
    </row>
    <row r="118">
      <c r="A118" s="23"/>
      <c r="B118" s="18"/>
      <c r="C118" s="19" t="s">
        <v>108</v>
      </c>
      <c r="D118" s="21"/>
      <c r="E118" s="21"/>
    </row>
    <row r="119">
      <c r="A119" s="23"/>
      <c r="B119" s="18"/>
      <c r="C119" s="19" t="s">
        <v>109</v>
      </c>
      <c r="D119" s="21"/>
      <c r="E119" s="21"/>
    </row>
    <row r="120">
      <c r="A120" s="23"/>
      <c r="B120" s="18"/>
      <c r="C120" s="18"/>
      <c r="D120" s="21"/>
      <c r="E120" s="21"/>
    </row>
    <row r="121">
      <c r="A121" s="23"/>
      <c r="B121" s="19" t="s">
        <v>57</v>
      </c>
      <c r="C121" s="19" t="s">
        <v>26</v>
      </c>
      <c r="D121" s="26">
        <v>200.0</v>
      </c>
      <c r="E121" s="21"/>
    </row>
    <row r="122">
      <c r="A122" s="23"/>
      <c r="B122" s="18"/>
      <c r="C122" s="19" t="s">
        <v>57</v>
      </c>
      <c r="D122" s="21"/>
      <c r="E122" s="21"/>
    </row>
    <row r="123">
      <c r="A123" s="23"/>
      <c r="B123" s="18"/>
      <c r="C123" s="18"/>
      <c r="D123" s="21"/>
      <c r="E123" s="21"/>
    </row>
    <row r="124">
      <c r="A124" s="56"/>
      <c r="B124" s="28"/>
      <c r="C124" s="29" t="s">
        <v>17</v>
      </c>
      <c r="D124" s="30" t="str">
        <f t="shared" ref="D124:E124" si="8">SUM(D102:D123)</f>
        <v>750.00</v>
      </c>
      <c r="E124" s="30" t="str">
        <f t="shared" si="8"/>
        <v>3,325.58</v>
      </c>
    </row>
    <row r="125">
      <c r="A125" s="56"/>
      <c r="B125" s="28"/>
      <c r="C125" s="29" t="s">
        <v>60</v>
      </c>
      <c r="D125" s="42" t="str">
        <f t="shared" ref="D125:E125" si="9">D124/D12</f>
        <v>9%</v>
      </c>
      <c r="E125" s="42" t="str">
        <f t="shared" si="9"/>
        <v>62%</v>
      </c>
    </row>
    <row r="126">
      <c r="A126" s="18"/>
      <c r="B126" s="18"/>
      <c r="C126" s="18"/>
      <c r="D126" s="21"/>
      <c r="E126" s="21"/>
    </row>
    <row r="127">
      <c r="A127" s="18"/>
      <c r="B127" s="18"/>
      <c r="C127" s="18"/>
      <c r="D127" s="21"/>
      <c r="E127" s="21"/>
    </row>
    <row r="128">
      <c r="A128" s="8" t="s">
        <v>110</v>
      </c>
      <c r="B128" s="60"/>
      <c r="C128" s="60"/>
      <c r="D128" s="62"/>
      <c r="E128" s="62"/>
    </row>
    <row r="129">
      <c r="A129" s="29" t="s">
        <v>111</v>
      </c>
      <c r="B129" s="64"/>
      <c r="C129" s="65" t="s">
        <v>18</v>
      </c>
      <c r="D129" s="66" t="str">
        <f t="shared" ref="D129:E129" si="10">D12</f>
        <v>7,900.00</v>
      </c>
      <c r="E129" s="66" t="str">
        <f t="shared" si="10"/>
        <v>5,389.19</v>
      </c>
    </row>
    <row r="130">
      <c r="A130" s="68" t="s">
        <v>112</v>
      </c>
      <c r="B130" s="69"/>
      <c r="C130" s="70" t="s">
        <v>113</v>
      </c>
      <c r="D130" s="71" t="str">
        <f t="shared" ref="D130:E130" si="11">D51</f>
        <v>2,938.37</v>
      </c>
      <c r="E130" s="71" t="str">
        <f t="shared" si="11"/>
        <v>654.97</v>
      </c>
    </row>
    <row r="131">
      <c r="A131" s="23"/>
      <c r="B131" s="69"/>
      <c r="C131" s="70" t="s">
        <v>114</v>
      </c>
      <c r="D131" s="71" t="str">
        <f t="shared" ref="D131:E131" si="12">D84</f>
        <v>2,953.69</v>
      </c>
      <c r="E131" s="71" t="str">
        <f t="shared" si="12"/>
        <v>1,437.69</v>
      </c>
    </row>
    <row r="132">
      <c r="A132" s="23"/>
      <c r="B132" s="69"/>
      <c r="C132" s="70" t="s">
        <v>115</v>
      </c>
      <c r="D132" s="71" t="str">
        <f t="shared" ref="D132:E132" si="13">D98</f>
        <v>250.00</v>
      </c>
      <c r="E132" s="71" t="str">
        <f t="shared" si="13"/>
        <v>0.00</v>
      </c>
    </row>
    <row r="133">
      <c r="A133" s="23"/>
      <c r="B133" s="69"/>
      <c r="C133" s="70" t="s">
        <v>116</v>
      </c>
      <c r="D133" s="71" t="str">
        <f t="shared" ref="D133:E133" si="14">D124</f>
        <v>750.00</v>
      </c>
      <c r="E133" s="71" t="str">
        <f t="shared" si="14"/>
        <v>3,325.58</v>
      </c>
    </row>
    <row r="134">
      <c r="A134" s="23"/>
      <c r="B134" s="69"/>
      <c r="C134" s="69"/>
      <c r="D134" s="71"/>
      <c r="E134" s="71"/>
    </row>
    <row r="135">
      <c r="A135" s="23"/>
      <c r="B135" s="69"/>
      <c r="C135" s="70" t="s">
        <v>110</v>
      </c>
      <c r="D135" s="66" t="str">
        <f t="shared" ref="D135:E135" si="15">D129-(SUM(D130:D133))</f>
        <v>1,007.94</v>
      </c>
      <c r="E135" s="66" t="str">
        <f t="shared" si="15"/>
        <v>-29.05</v>
      </c>
    </row>
    <row r="136">
      <c r="A136" s="23"/>
      <c r="B136" s="18"/>
      <c r="C136" s="19" t="s">
        <v>60</v>
      </c>
      <c r="D136" s="88" t="str">
        <f t="shared" ref="D136:E136" si="16">D135*100/D12</f>
        <v>13</v>
      </c>
      <c r="E136" s="88" t="str">
        <f t="shared" si="16"/>
        <v>-1</v>
      </c>
    </row>
    <row r="137">
      <c r="A137" s="23"/>
      <c r="B137" s="18"/>
      <c r="C137" s="18"/>
      <c r="D137" s="74"/>
      <c r="E137" s="74"/>
    </row>
    <row r="138">
      <c r="A138" s="23"/>
      <c r="B138" s="18"/>
      <c r="C138" s="19" t="s">
        <v>117</v>
      </c>
      <c r="D138" s="76"/>
      <c r="E138" s="76"/>
    </row>
    <row r="139">
      <c r="A139" s="23"/>
      <c r="B139" s="18"/>
      <c r="C139" s="19" t="s">
        <v>60</v>
      </c>
      <c r="D139" s="74"/>
      <c r="E139" s="74"/>
    </row>
    <row r="140">
      <c r="A140" s="23"/>
      <c r="B140" s="18"/>
      <c r="C140" s="18"/>
      <c r="D140" s="74"/>
      <c r="E140" s="74"/>
    </row>
    <row r="141">
      <c r="A141" s="27"/>
      <c r="B141" s="18"/>
      <c r="C141" s="19" t="s">
        <v>118</v>
      </c>
      <c r="D141" s="78"/>
      <c r="E141" s="78"/>
    </row>
    <row r="142">
      <c r="A142" s="18"/>
      <c r="B142" s="18"/>
      <c r="C142" s="19" t="s">
        <v>60</v>
      </c>
      <c r="D142" s="74"/>
      <c r="E142" s="74"/>
    </row>
  </sheetData>
  <mergeCells count="6">
    <mergeCell ref="A4:A11"/>
    <mergeCell ref="A19:A50"/>
    <mergeCell ref="A55:A83"/>
    <mergeCell ref="A88:A97"/>
    <mergeCell ref="A102:A123"/>
    <mergeCell ref="A130:A141"/>
  </mergeCells>
  <drawing r:id="rId1"/>
</worksheet>
</file>